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.mckean\Desktop\"/>
    </mc:Choice>
  </mc:AlternateContent>
  <xr:revisionPtr revIDLastSave="0" documentId="8_{94335C7B-913A-4508-BA23-9A6FFDD977E1}" xr6:coauthVersionLast="47" xr6:coauthVersionMax="47" xr10:uidLastSave="{00000000-0000-0000-0000-000000000000}"/>
  <workbookProtection workbookAlgorithmName="SHA-512" workbookHashValue="Qh6UGYNvlN988cmgLEEV5klP4t3ZJBDUYmK46x4dHm/qTlFiTrSU6ZxOXyZ6paAze3A/yHGC0yyRJ//s95Ocuw==" workbookSaltValue="lVkV38hKa7oaorse5vb0nA==" workbookSpinCount="100000" lockStructure="1"/>
  <bookViews>
    <workbookView xWindow="3510" yWindow="3510" windowWidth="21600" windowHeight="11295" tabRatio="767" xr2:uid="{00000000-000D-0000-FFFF-FFFF00000000}"/>
  </bookViews>
  <sheets>
    <sheet name="Dose calculator" sheetId="1" r:id="rId1"/>
    <sheet name="Dose calculator (2)" sheetId="6" state="hidden" r:id="rId2"/>
    <sheet name="Vancomycin continuous infusion" sheetId="5" state="hidden" r:id="rId3"/>
  </sheets>
  <definedNames>
    <definedName name="_xlnm.Print_Area" localSheetId="0">'Dose calculator'!$A$1:$AS$45</definedName>
    <definedName name="_xlnm.Print_Area" localSheetId="1">'Dose calculator (2)'!$A$1:$M$69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14" i="1" l="1"/>
  <c r="AX34" i="1"/>
  <c r="K16" i="1" l="1"/>
  <c r="K13" i="1"/>
  <c r="K17" i="1"/>
  <c r="K18" i="1"/>
  <c r="K19" i="1"/>
  <c r="K12" i="1"/>
  <c r="K20" i="1" l="1"/>
  <c r="BC12" i="1" l="1"/>
  <c r="BD15" i="1"/>
  <c r="BD13" i="1"/>
  <c r="BD10" i="1"/>
  <c r="J34" i="6" l="1"/>
  <c r="J33" i="6"/>
  <c r="J30" i="6"/>
  <c r="J39" i="6" s="1"/>
  <c r="D26" i="6"/>
  <c r="D25" i="6"/>
  <c r="I24" i="6"/>
  <c r="AX35" i="1"/>
  <c r="CA31" i="1"/>
  <c r="BX31" i="1"/>
  <c r="BY31" i="1" s="1"/>
  <c r="BV31" i="1" s="1"/>
  <c r="AX31" i="1"/>
  <c r="CA30" i="1"/>
  <c r="BX30" i="1"/>
  <c r="BZ30" i="1" s="1"/>
  <c r="CA29" i="1"/>
  <c r="BX29" i="1"/>
  <c r="BY29" i="1" s="1"/>
  <c r="CA28" i="1"/>
  <c r="BX28" i="1"/>
  <c r="BY28" i="1" s="1"/>
  <c r="CA27" i="1"/>
  <c r="BX27" i="1"/>
  <c r="BY27" i="1" s="1"/>
  <c r="BV27" i="1" s="1"/>
  <c r="AY24" i="1"/>
  <c r="BD16" i="1"/>
  <c r="BC11" i="1"/>
  <c r="AV10" i="1"/>
  <c r="AU10" i="1" s="1"/>
  <c r="AV9" i="1"/>
  <c r="AU9" i="1" s="1"/>
  <c r="AV8" i="1"/>
  <c r="AU8" i="1" s="1"/>
  <c r="AV7" i="1"/>
  <c r="AU7" i="1" s="1"/>
  <c r="U6" i="1"/>
  <c r="BO27" i="1" s="1"/>
  <c r="BP27" i="1" s="1"/>
  <c r="BD12" i="1" l="1"/>
  <c r="BD17" i="1" s="1"/>
  <c r="AX40" i="1"/>
  <c r="AX32" i="1" s="1"/>
  <c r="BZ28" i="1"/>
  <c r="BW28" i="1" s="1"/>
  <c r="BU31" i="1"/>
  <c r="BZ31" i="1"/>
  <c r="BW31" i="1" s="1"/>
  <c r="BV28" i="1"/>
  <c r="BU28" i="1"/>
  <c r="BZ27" i="1"/>
  <c r="BW27" i="1" s="1"/>
  <c r="BY30" i="1"/>
  <c r="BW30" i="1" s="1"/>
  <c r="BV29" i="1"/>
  <c r="BU29" i="1"/>
  <c r="BZ29" i="1"/>
  <c r="BW29" i="1" s="1"/>
  <c r="BU30" i="1"/>
  <c r="BU27" i="1"/>
  <c r="BV30" i="1"/>
  <c r="J31" i="6"/>
  <c r="J40" i="6" s="1"/>
  <c r="J32" i="6" s="1"/>
  <c r="J41" i="6" s="1"/>
  <c r="J29" i="6" s="1"/>
  <c r="B21" i="1" l="1"/>
  <c r="S9" i="1"/>
  <c r="S10" i="1"/>
  <c r="S11" i="1"/>
  <c r="S8" i="1"/>
  <c r="AX42" i="1"/>
  <c r="AX33" i="1" s="1"/>
  <c r="AX43" i="1" s="1"/>
  <c r="AX30" i="1" s="1"/>
  <c r="C25" i="6"/>
  <c r="D15" i="6"/>
  <c r="F20" i="1" l="1"/>
  <c r="I20" i="6"/>
  <c r="H19" i="6"/>
  <c r="H18" i="6"/>
  <c r="L16" i="6"/>
  <c r="I15" i="6"/>
  <c r="I14" i="6"/>
  <c r="H13" i="6"/>
  <c r="L20" i="6"/>
  <c r="I19" i="6"/>
  <c r="I18" i="6"/>
  <c r="H17" i="6"/>
  <c r="L15" i="6"/>
  <c r="L14" i="6"/>
  <c r="I13" i="6"/>
  <c r="L19" i="6"/>
  <c r="L18" i="6"/>
  <c r="I17" i="6"/>
  <c r="H16" i="6"/>
  <c r="L13" i="6"/>
  <c r="H20" i="6"/>
  <c r="L17" i="6"/>
  <c r="I16" i="6"/>
  <c r="H15" i="6"/>
  <c r="H14" i="6"/>
  <c r="AZ13" i="1" l="1"/>
  <c r="AX14" i="1"/>
  <c r="AX15" i="1"/>
  <c r="AX16" i="1"/>
  <c r="BQ16" i="1"/>
  <c r="AX19" i="1"/>
  <c r="BQ19" i="1"/>
  <c r="AX13" i="1"/>
  <c r="AY18" i="1"/>
  <c r="AZ15" i="1"/>
  <c r="AY19" i="1"/>
  <c r="AY15" i="1"/>
  <c r="AX18" i="1"/>
  <c r="AZ17" i="1"/>
  <c r="AZ16" i="1"/>
  <c r="BQ18" i="1"/>
  <c r="BQ15" i="1"/>
  <c r="AX20" i="1"/>
  <c r="AZ19" i="1"/>
  <c r="AY13" i="1"/>
  <c r="AY16" i="1"/>
  <c r="BQ13" i="1"/>
  <c r="AY20" i="1"/>
  <c r="AZ20" i="1"/>
  <c r="AX17" i="1"/>
  <c r="BQ14" i="1"/>
  <c r="AY17" i="1"/>
  <c r="AY14" i="1"/>
  <c r="AZ18" i="1"/>
  <c r="BQ20" i="1"/>
  <c r="BQ17" i="1"/>
  <c r="AZ14" i="1"/>
  <c r="L21" i="6"/>
  <c r="L22" i="6" s="1"/>
  <c r="H21" i="6"/>
  <c r="E21" i="6" s="1"/>
  <c r="L29" i="6" s="1"/>
  <c r="L30" i="6" s="1"/>
  <c r="E23" i="6" s="1"/>
  <c r="I21" i="6"/>
  <c r="E22" i="6" s="1"/>
  <c r="E19" i="6" s="1"/>
  <c r="AY21" i="1" l="1"/>
  <c r="AV18" i="1" s="1"/>
  <c r="S19" i="1" s="1"/>
  <c r="BQ21" i="1"/>
  <c r="BQ22" i="1" s="1"/>
  <c r="AX21" i="1"/>
  <c r="AV14" i="1" s="1"/>
  <c r="S15" i="1" s="1"/>
  <c r="AZ21" i="1"/>
  <c r="AV15" i="1" s="1"/>
  <c r="S16" i="1" s="1"/>
  <c r="BQ27" i="1" l="1"/>
  <c r="BO28" i="1" s="1"/>
  <c r="S14" i="1" s="1"/>
  <c r="AZ30" i="1"/>
  <c r="AZ31" i="1" s="1"/>
  <c r="AV16" i="1" s="1"/>
  <c r="BK33" i="1" s="1"/>
  <c r="BK27" i="1" l="1"/>
  <c r="BK32" i="1"/>
  <c r="BK30" i="1"/>
  <c r="BK26" i="1"/>
  <c r="BK29" i="1"/>
  <c r="BK31" i="1"/>
  <c r="BK25" i="1"/>
  <c r="BK34" i="1"/>
  <c r="BK24" i="1"/>
  <c r="BK28" i="1"/>
  <c r="S17" i="1"/>
  <c r="AV17" i="1" l="1"/>
  <c r="S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athomson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athomson:</t>
        </r>
        <r>
          <rPr>
            <sz val="8"/>
            <color indexed="81"/>
            <rFont val="Tahoma"/>
            <family val="2"/>
          </rPr>
          <t xml:space="preserve">
ref Cockcroft &amp; Gault
Nephron 16: 31-41, 1976</t>
        </r>
      </text>
    </comment>
  </commentList>
</comments>
</file>

<file path=xl/sharedStrings.xml><?xml version="1.0" encoding="utf-8"?>
<sst xmlns="http://schemas.openxmlformats.org/spreadsheetml/2006/main" count="244" uniqueCount="164">
  <si>
    <t>Vancomycin Pulsed Infusion</t>
  </si>
  <si>
    <t>Vancomycin Continuous Infusion</t>
  </si>
  <si>
    <t>Recommended doses and dosage intervals are shown in red</t>
  </si>
  <si>
    <t>CrCL (ml/min)</t>
  </si>
  <si>
    <t>Dose</t>
  </si>
  <si>
    <t>Interval</t>
  </si>
  <si>
    <t>Creat CL (ml/min)</t>
  </si>
  <si>
    <t>Dose / 12 h</t>
  </si>
  <si>
    <t>Creatinine Clearance (ml/min)</t>
  </si>
  <si>
    <t>&lt; 20</t>
  </si>
  <si>
    <t xml:space="preserve">&lt;20 </t>
  </si>
  <si>
    <t>Use pulsed infusion or renal unit guidelines</t>
  </si>
  <si>
    <t>Age (years)</t>
  </si>
  <si>
    <t>20-29</t>
  </si>
  <si>
    <t>Weight (kg)</t>
  </si>
  <si>
    <t>30-39</t>
  </si>
  <si>
    <t>Sex (m/f)</t>
  </si>
  <si>
    <t>40-54</t>
  </si>
  <si>
    <t>55-74</t>
  </si>
  <si>
    <t>Height (cm)</t>
  </si>
  <si>
    <t>Maintenance Dose (mg)</t>
  </si>
  <si>
    <t>75-89</t>
  </si>
  <si>
    <t>90-110</t>
  </si>
  <si>
    <t>(inches)</t>
  </si>
  <si>
    <t>&gt;110</t>
  </si>
  <si>
    <t>Doses</t>
  </si>
  <si>
    <t>Ideal body weight (kg)</t>
  </si>
  <si>
    <t>Creatinine CL (ml/min)</t>
  </si>
  <si>
    <t>See pulsed or continuous infusion sheets, as appropriate, for vancomycin monitoring guidelines</t>
  </si>
  <si>
    <t>Sum</t>
  </si>
  <si>
    <t>250 mg</t>
  </si>
  <si>
    <t>750 mg</t>
  </si>
  <si>
    <t>375 mg</t>
  </si>
  <si>
    <t>1000 mg</t>
  </si>
  <si>
    <t>500 mg</t>
  </si>
  <si>
    <t>1500 mg</t>
  </si>
  <si>
    <t>2000 mg</t>
  </si>
  <si>
    <t>2500 mg</t>
  </si>
  <si>
    <t>1250 mg</t>
  </si>
  <si>
    <t>Vancomycin Loading Dose</t>
  </si>
  <si>
    <t>&lt; 40 kg</t>
  </si>
  <si>
    <t>No change</t>
  </si>
  <si>
    <t>Decrease the 12 hourly dose by 250 mg</t>
  </si>
  <si>
    <t xml:space="preserve">Monitoring of Vancomycin Concentrations </t>
  </si>
  <si>
    <t>1.</t>
  </si>
  <si>
    <t>2.</t>
  </si>
  <si>
    <t>3.</t>
  </si>
  <si>
    <t>4.</t>
  </si>
  <si>
    <t>Actual body weight</t>
  </si>
  <si>
    <t>40 - 59 kg</t>
  </si>
  <si>
    <t>&gt;90 kg</t>
  </si>
  <si>
    <t>1000 mg in 250 ml saline over 2 hours</t>
  </si>
  <si>
    <t>1500 mg in 500 ml saline over 3 hours</t>
  </si>
  <si>
    <t>2000 mg in 500 ml saline over 4 hours</t>
  </si>
  <si>
    <t>20 - 29</t>
  </si>
  <si>
    <t>30 - 39</t>
  </si>
  <si>
    <t>40 - 54</t>
  </si>
  <si>
    <t>55 - 74</t>
  </si>
  <si>
    <t>75 - 89</t>
  </si>
  <si>
    <t>90 - 110</t>
  </si>
  <si>
    <t>&gt; 110</t>
  </si>
  <si>
    <t>Vancomycin concentration</t>
  </si>
  <si>
    <t>Suggested dose change</t>
  </si>
  <si>
    <t xml:space="preserve">Use the NHS GGC monitoring form to record dosage and sampling details.  </t>
  </si>
  <si>
    <t>Seek advice from pharmacy or microbiology if you need help to interpret the result.</t>
  </si>
  <si>
    <t>Vancomycin Maintenance Continuous Infusion</t>
  </si>
  <si>
    <t>Dose for continuous infusion over 12 hours</t>
  </si>
  <si>
    <t>3000 mg</t>
  </si>
  <si>
    <t>Used pulsed infusion or follow Renal Unit guidelines</t>
  </si>
  <si>
    <t>Daily dose</t>
  </si>
  <si>
    <t>Adjustment of vancomycin continuous infusion doses</t>
  </si>
  <si>
    <t>&lt; 15 mg/L</t>
  </si>
  <si>
    <t>Increase the 12 hourly dose by 250 mg</t>
  </si>
  <si>
    <t>15 - 25 mg/L</t>
  </si>
  <si>
    <t>&gt;25 - 30 mg/L</t>
  </si>
  <si>
    <t>&gt; 30 mg/L</t>
  </si>
  <si>
    <t>Stop until &lt; 25 mg/L then restart at a lower dose</t>
  </si>
  <si>
    <t>Target concentration range: 15 - 25 mg/L</t>
  </si>
  <si>
    <t>Take a sample 12 - 24 hours after starting the continuous infusion then every 2 - 3 days or daily of the patient has unstable renal function.</t>
  </si>
  <si>
    <t xml:space="preserve">Record the times of the blood sample on the request form and the sample tube.  </t>
  </si>
  <si>
    <t>60 - 90 kg</t>
  </si>
  <si>
    <t>750 mg in 250 ml saline over 1.5  hours</t>
  </si>
  <si>
    <t>CrCl</t>
  </si>
  <si>
    <t>IBW</t>
  </si>
  <si>
    <t>Height</t>
  </si>
  <si>
    <t>Load</t>
  </si>
  <si>
    <t>MBW</t>
  </si>
  <si>
    <t>Sex</t>
  </si>
  <si>
    <t>Creatinine</t>
  </si>
  <si>
    <t>Weight for creatinine clearance (kg)</t>
  </si>
  <si>
    <t xml:space="preserve">Type in the data shown in blue and press &lt;enter&gt;                         </t>
  </si>
  <si>
    <r>
      <t>Creatinine (</t>
    </r>
    <r>
      <rPr>
        <b/>
        <sz val="14"/>
        <color indexed="12"/>
        <rFont val="Symbol"/>
        <family val="1"/>
        <charset val="2"/>
      </rPr>
      <t>m</t>
    </r>
    <r>
      <rPr>
        <b/>
        <sz val="14"/>
        <color indexed="12"/>
        <rFont val="Arial"/>
        <family val="2"/>
      </rPr>
      <t>mol/L)</t>
    </r>
  </si>
  <si>
    <t>Vancomycin loading dose is based on actual body weight</t>
  </si>
  <si>
    <t>Duration of infusion (hours)</t>
  </si>
  <si>
    <r>
      <t>OR</t>
    </r>
    <r>
      <rPr>
        <sz val="14"/>
        <color indexed="12"/>
        <rFont val="Arial"/>
        <family val="2"/>
      </rPr>
      <t xml:space="preserve"> Height (feet)</t>
    </r>
  </si>
  <si>
    <t>PULSED infusion</t>
  </si>
  <si>
    <t>Prescribe a pulsed IV infusion OR a continuous IV infusion</t>
  </si>
  <si>
    <t>Interval (hours)</t>
  </si>
  <si>
    <t>Mode of administration</t>
  </si>
  <si>
    <t xml:space="preserve">Time after loading to start of maintenance infusion (hours) </t>
  </si>
  <si>
    <t>INITIAL IV LOADING DOSE (pulsed and continuous infusion)</t>
  </si>
  <si>
    <t xml:space="preserve"> INTRAVENOUS VANCOMYCIN DOSE CALCULATOR FOR ADULT PATIENTS</t>
  </si>
  <si>
    <t xml:space="preserve">REGULAR IV MAINTENANCE DOSE </t>
  </si>
  <si>
    <t>f</t>
  </si>
  <si>
    <t>age</t>
  </si>
  <si>
    <t>height (cm)</t>
  </si>
  <si>
    <t>height (feet &amp; inches)</t>
  </si>
  <si>
    <t>Weight</t>
  </si>
  <si>
    <t>TOTAL</t>
  </si>
  <si>
    <t>All data items need to be present for dose to be displayed</t>
  </si>
  <si>
    <t>Age* (years)</t>
  </si>
  <si>
    <t>Actual Body Weight* (kg)</t>
  </si>
  <si>
    <t>Rate</t>
  </si>
  <si>
    <t>Duration</t>
  </si>
  <si>
    <t>VANCOMYCIN DOSE CALCULATOR FOR ADULT PATIENTS</t>
  </si>
  <si>
    <t xml:space="preserve">Produced by: NHS Lothian AMT (Using GG&amp;C Template designed by A.Thomson) </t>
  </si>
  <si>
    <t>Indication</t>
  </si>
  <si>
    <t>Planned duration</t>
  </si>
  <si>
    <t>REGULAR VANCOMYCIN IV MAINTENANCE DOSE</t>
  </si>
  <si>
    <t>Time of first maintenance dose</t>
  </si>
  <si>
    <t>OR Height* (feet)</t>
  </si>
  <si>
    <t>12 houly maintenance dose</t>
  </si>
  <si>
    <t>24 hourly maintenance dose</t>
  </si>
  <si>
    <t>48 hourly maintenance dose</t>
  </si>
  <si>
    <t>at 10am, then every 12 hours</t>
  </si>
  <si>
    <t>at 6am, then every 12 hours</t>
  </si>
  <si>
    <t>at 10pm, then every 12 hours</t>
  </si>
  <si>
    <t>at 6pm, then every 12 hours</t>
  </si>
  <si>
    <t>at 10pm, then every 24 hours</t>
  </si>
  <si>
    <t>at 6pm, then every 24 hours</t>
  </si>
  <si>
    <t>at 6am, then every 24 hours</t>
  </si>
  <si>
    <t>at 10am, then every 24 hours</t>
  </si>
  <si>
    <t>Target trough level</t>
  </si>
  <si>
    <t>Volume</t>
  </si>
  <si>
    <t>Duration of infusion</t>
  </si>
  <si>
    <t>intermittent infusion</t>
  </si>
  <si>
    <t>Dosage interval</t>
  </si>
  <si>
    <t>Table to generate rate</t>
  </si>
  <si>
    <t>Note that the formula in cell AB24 is not used in this version because the initial dose has been split out into 4 cells.</t>
  </si>
  <si>
    <r>
      <rPr>
        <b/>
        <sz val="15"/>
        <rFont val="Arial"/>
        <family val="2"/>
      </rPr>
      <t xml:space="preserve">PHARMACY CHECK     </t>
    </r>
    <r>
      <rPr>
        <sz val="15"/>
        <rFont val="Arial"/>
        <family val="2"/>
      </rPr>
      <t xml:space="preserve"> </t>
    </r>
    <r>
      <rPr>
        <b/>
        <sz val="15"/>
        <rFont val="Arial"/>
        <family val="2"/>
      </rPr>
      <t>(Signature/Date)</t>
    </r>
  </si>
  <si>
    <t xml:space="preserve">                     (inches)</t>
  </si>
  <si>
    <t>at 10am + 1 day, then every 48 hours</t>
  </si>
  <si>
    <t>at 6pm + 1 day, then every 48 hours</t>
  </si>
  <si>
    <t>at 10pm + 1 day, then every 48 hours</t>
  </si>
  <si>
    <t>at 6am + 1 day, then every 48 hours</t>
  </si>
  <si>
    <r>
      <t xml:space="preserve">ENTER DETAILS IN BLUE BOXES    </t>
    </r>
    <r>
      <rPr>
        <b/>
        <sz val="13"/>
        <color indexed="9"/>
        <rFont val="Arial"/>
        <family val="2"/>
      </rPr>
      <t/>
    </r>
  </si>
  <si>
    <t>Fields marked * are mandatory; height can be recorded in either cm or feet &amp; inches.</t>
  </si>
  <si>
    <t>If loading dose is calculated as lower than maintenance dose then give the maintenance dose as a loading dose instead.</t>
  </si>
  <si>
    <t>Patient name*</t>
  </si>
  <si>
    <t>Patient CHI*</t>
  </si>
  <si>
    <t>Height* (cm)</t>
  </si>
  <si>
    <t>Creatinine* (μmol/L)</t>
  </si>
  <si>
    <t>Check</t>
  </si>
  <si>
    <t>Valid ranges</t>
  </si>
  <si>
    <t>Minimum</t>
  </si>
  <si>
    <t>Maximum</t>
  </si>
  <si>
    <t>Male</t>
  </si>
  <si>
    <t>Female</t>
  </si>
  <si>
    <r>
      <t xml:space="preserve">Sex*  
</t>
    </r>
    <r>
      <rPr>
        <b/>
        <sz val="10.5"/>
        <rFont val="Arial"/>
        <family val="2"/>
      </rPr>
      <t>Select either Male or Female from drop-down list.</t>
    </r>
  </si>
  <si>
    <r>
      <rPr>
        <b/>
        <sz val="16"/>
        <rFont val="Arial"/>
        <family val="2"/>
      </rPr>
      <t>Target trough levels*</t>
    </r>
    <r>
      <rPr>
        <b/>
        <sz val="15"/>
        <rFont val="Arial"/>
        <family val="2"/>
      </rPr>
      <t xml:space="preserve">  
</t>
    </r>
    <r>
      <rPr>
        <b/>
        <sz val="10.5"/>
        <rFont val="Arial"/>
        <family val="2"/>
      </rPr>
      <t>Select either 10-15 or 15-20.  See Note 1.</t>
    </r>
  </si>
  <si>
    <r>
      <rPr>
        <b/>
        <sz val="14"/>
        <rFont val="Arial"/>
        <family val="2"/>
      </rPr>
      <t xml:space="preserve">STAT LOADING DOSE      </t>
    </r>
    <r>
      <rPr>
        <b/>
        <sz val="12"/>
        <rFont val="Arial"/>
        <family val="2"/>
      </rPr>
      <t>date &amp; time:</t>
    </r>
  </si>
  <si>
    <t>Loading dose</t>
  </si>
  <si>
    <t>Maintenance dose</t>
  </si>
  <si>
    <r>
      <t xml:space="preserve">Contact: </t>
    </r>
    <r>
      <rPr>
        <u/>
        <sz val="13"/>
        <color theme="4"/>
        <rFont val="Arial"/>
        <family val="2"/>
      </rPr>
      <t>loth.antimicrobialstewardship@nhs.scot</t>
    </r>
    <r>
      <rPr>
        <sz val="13"/>
        <color theme="1"/>
        <rFont val="Arial"/>
        <family val="2"/>
      </rPr>
      <t xml:space="preserve">  Version 4.2 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</si>
</sst>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8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16"/>
      <color indexed="9"/>
      <name val="Arial"/>
      <family val="2"/>
    </font>
    <font>
      <b/>
      <sz val="14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8"/>
      <color indexed="10"/>
      <name val="Arial"/>
      <family val="2"/>
    </font>
    <font>
      <b/>
      <sz val="14"/>
      <color indexed="12"/>
      <name val="Symbol"/>
      <family val="1"/>
      <charset val="2"/>
    </font>
    <font>
      <sz val="18"/>
      <name val="Arial"/>
      <family val="2"/>
    </font>
    <font>
      <sz val="18"/>
      <color indexed="10"/>
      <name val="Arial"/>
      <family val="2"/>
    </font>
    <font>
      <b/>
      <sz val="18"/>
      <color indexed="9"/>
      <name val="Arial"/>
      <family val="2"/>
    </font>
    <font>
      <sz val="14"/>
      <color indexed="9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9"/>
      <name val="Arial"/>
      <family val="2"/>
    </font>
    <font>
      <b/>
      <sz val="20"/>
      <name val="Symbol"/>
      <family val="1"/>
      <charset val="2"/>
    </font>
    <font>
      <sz val="20"/>
      <name val="Arial"/>
      <family val="2"/>
    </font>
    <font>
      <b/>
      <sz val="20"/>
      <color indexed="9"/>
      <name val="Arial"/>
      <family val="2"/>
    </font>
    <font>
      <sz val="20"/>
      <name val="Wingdings"/>
      <charset val="2"/>
    </font>
    <font>
      <sz val="20"/>
      <color indexed="9"/>
      <name val="Wingdings"/>
      <charset val="2"/>
    </font>
    <font>
      <b/>
      <sz val="18"/>
      <name val="Arial"/>
      <family val="2"/>
    </font>
    <font>
      <sz val="10"/>
      <color indexed="9"/>
      <name val="Arial"/>
      <family val="2"/>
    </font>
    <font>
      <sz val="16"/>
      <color indexed="9"/>
      <name val="Arial"/>
      <family val="2"/>
    </font>
    <font>
      <b/>
      <u/>
      <sz val="1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8"/>
      <color indexed="9"/>
      <name val="Arial"/>
      <family val="2"/>
    </font>
    <font>
      <sz val="18"/>
      <color indexed="9"/>
      <name val="Arial"/>
      <family val="2"/>
    </font>
    <font>
      <sz val="13"/>
      <color rgb="FF000000"/>
      <name val="Arial"/>
      <family val="2"/>
    </font>
    <font>
      <u/>
      <sz val="7.5"/>
      <color theme="10"/>
      <name val="Arial"/>
      <family val="2"/>
    </font>
    <font>
      <sz val="13"/>
      <color theme="1"/>
      <name val="Arial"/>
      <family val="2"/>
    </font>
    <font>
      <u/>
      <sz val="13"/>
      <color theme="4"/>
      <name val="Arial"/>
      <family val="2"/>
    </font>
    <font>
      <b/>
      <sz val="15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2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sz val="16"/>
      <color theme="0" tint="-0.249977111117893"/>
      <name val="Arial"/>
      <family val="2"/>
    </font>
    <font>
      <b/>
      <sz val="13"/>
      <color indexed="9"/>
      <name val="Arial"/>
      <family val="2"/>
    </font>
    <font>
      <b/>
      <i/>
      <sz val="13"/>
      <color indexed="9"/>
      <name val="Arial"/>
      <family val="2"/>
    </font>
    <font>
      <sz val="15"/>
      <name val="Arial"/>
      <family val="2"/>
    </font>
    <font>
      <i/>
      <sz val="13"/>
      <name val="Arial"/>
      <family val="2"/>
    </font>
    <font>
      <b/>
      <i/>
      <sz val="13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b/>
      <i/>
      <sz val="13"/>
      <name val="Arial"/>
      <family val="2"/>
    </font>
    <font>
      <b/>
      <sz val="22"/>
      <color rgb="FFFF0000"/>
      <name val="Arial"/>
      <family val="2"/>
    </font>
    <font>
      <b/>
      <sz val="10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/>
      <top style="thick">
        <color theme="0" tint="-4.9989318521683403E-2"/>
      </top>
      <bottom/>
      <diagonal/>
    </border>
    <border>
      <left/>
      <right style="thick">
        <color theme="0" tint="-4.9989318521683403E-2"/>
      </right>
      <top style="thick">
        <color theme="0" tint="-4.9989318521683403E-2"/>
      </top>
      <bottom/>
      <diagonal/>
    </border>
    <border>
      <left/>
      <right/>
      <top style="thick">
        <color theme="0" tint="-4.9989318521683403E-2"/>
      </top>
      <bottom/>
      <diagonal/>
    </border>
    <border>
      <left style="thick">
        <color theme="0" tint="-4.9989318521683403E-2"/>
      </left>
      <right/>
      <top/>
      <bottom style="thick">
        <color theme="0" tint="-4.9989318521683403E-2"/>
      </bottom>
      <diagonal/>
    </border>
    <border>
      <left/>
      <right/>
      <top/>
      <bottom style="thick">
        <color theme="0" tint="-4.9989318521683403E-2"/>
      </bottom>
      <diagonal/>
    </border>
    <border>
      <left/>
      <right style="thick">
        <color theme="0" tint="-4.9989318521683403E-2"/>
      </right>
      <top/>
      <bottom/>
      <diagonal/>
    </border>
    <border>
      <left/>
      <right style="thick">
        <color theme="0" tint="-4.9989318521683403E-2"/>
      </right>
      <top/>
      <bottom style="thick">
        <color theme="0" tint="-4.9989318521683403E-2"/>
      </bottom>
      <diagonal/>
    </border>
  </borders>
  <cellStyleXfs count="2">
    <xf numFmtId="0" fontId="0" fillId="0" borderId="0"/>
    <xf numFmtId="0" fontId="62" fillId="0" borderId="0" applyNumberFormat="0" applyFill="0" applyBorder="0" applyAlignment="0" applyProtection="0">
      <alignment vertical="top"/>
      <protection locked="0"/>
    </xf>
  </cellStyleXfs>
  <cellXfs count="621">
    <xf numFmtId="0" fontId="0" fillId="0" borderId="0" xfId="0"/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Protection="1">
      <protection hidden="1"/>
    </xf>
    <xf numFmtId="0" fontId="0" fillId="0" borderId="0" xfId="0" applyBorder="1"/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Border="1" applyProtection="1">
      <protection hidden="1"/>
    </xf>
    <xf numFmtId="0" fontId="0" fillId="0" borderId="0" xfId="0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8" fillId="4" borderId="7" xfId="0" applyNumberFormat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center"/>
    </xf>
    <xf numFmtId="0" fontId="7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36" fillId="0" borderId="0" xfId="0" applyFont="1"/>
    <xf numFmtId="0" fontId="0" fillId="0" borderId="0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/>
    </xf>
    <xf numFmtId="0" fontId="26" fillId="0" borderId="0" xfId="0" applyFont="1" applyFill="1" applyBorder="1" applyProtection="1">
      <protection hidden="1"/>
    </xf>
    <xf numFmtId="0" fontId="27" fillId="0" borderId="0" xfId="0" applyFont="1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2" fillId="0" borderId="0" xfId="0" applyFont="1" applyFill="1" applyBorder="1" applyAlignment="1" applyProtection="1">
      <alignment horizontal="right" wrapText="1"/>
    </xf>
    <xf numFmtId="0" fontId="0" fillId="0" borderId="0" xfId="0" applyBorder="1" applyProtection="1"/>
    <xf numFmtId="0" fontId="0" fillId="0" borderId="0" xfId="0" applyBorder="1" applyAlignment="1" applyProtection="1"/>
    <xf numFmtId="164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right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2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Border="1" applyProtection="1"/>
    <xf numFmtId="0" fontId="0" fillId="0" borderId="0" xfId="0" applyBorder="1" applyAlignment="1" applyProtection="1">
      <alignment horizontal="right"/>
    </xf>
    <xf numFmtId="0" fontId="11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3" fillId="5" borderId="9" xfId="0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Protection="1">
      <protection hidden="1"/>
    </xf>
    <xf numFmtId="164" fontId="15" fillId="0" borderId="0" xfId="0" applyNumberFormat="1" applyFont="1" applyFill="1" applyBorder="1" applyProtection="1">
      <protection hidden="1"/>
    </xf>
    <xf numFmtId="0" fontId="25" fillId="0" borderId="0" xfId="0" applyFont="1" applyBorder="1" applyAlignment="1"/>
    <xf numFmtId="0" fontId="7" fillId="0" borderId="0" xfId="0" applyFont="1" applyBorder="1" applyAlignment="1"/>
    <xf numFmtId="0" fontId="11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7" fillId="5" borderId="9" xfId="0" applyFont="1" applyFill="1" applyBorder="1" applyAlignment="1" applyProtection="1">
      <alignment horizontal="right" vertical="center"/>
      <protection hidden="1"/>
    </xf>
    <xf numFmtId="0" fontId="21" fillId="5" borderId="9" xfId="0" applyFont="1" applyFill="1" applyBorder="1" applyAlignment="1" applyProtection="1">
      <alignment horizontal="right" vertical="center"/>
      <protection hidden="1"/>
    </xf>
    <xf numFmtId="0" fontId="23" fillId="5" borderId="20" xfId="0" applyFont="1" applyFill="1" applyBorder="1" applyAlignment="1" applyProtection="1">
      <alignment horizontal="right" vertical="center"/>
      <protection hidden="1"/>
    </xf>
    <xf numFmtId="0" fontId="17" fillId="5" borderId="20" xfId="0" applyFont="1" applyFill="1" applyBorder="1" applyAlignment="1" applyProtection="1">
      <alignment horizontal="right" vertical="center"/>
      <protection hidden="1"/>
    </xf>
    <xf numFmtId="0" fontId="17" fillId="5" borderId="10" xfId="0" applyFont="1" applyFill="1" applyBorder="1" applyAlignment="1" applyProtection="1">
      <alignment horizontal="right" vertical="center"/>
      <protection hidden="1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hidden="1"/>
    </xf>
    <xf numFmtId="0" fontId="10" fillId="4" borderId="23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/>
      <protection hidden="1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 applyProtection="1">
      <alignment horizontal="center" vertical="center" wrapText="1"/>
      <protection hidden="1"/>
    </xf>
    <xf numFmtId="0" fontId="25" fillId="4" borderId="25" xfId="0" applyFont="1" applyFill="1" applyBorder="1" applyAlignment="1" applyProtection="1">
      <alignment horizontal="center" vertical="center" wrapText="1"/>
      <protection hidden="1"/>
    </xf>
    <xf numFmtId="164" fontId="9" fillId="5" borderId="26" xfId="0" applyNumberFormat="1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  <protection locked="0"/>
    </xf>
    <xf numFmtId="1" fontId="23" fillId="5" borderId="28" xfId="0" applyNumberFormat="1" applyFont="1" applyFill="1" applyBorder="1" applyAlignment="1" applyProtection="1">
      <alignment horizontal="center" vertical="center"/>
      <protection hidden="1"/>
    </xf>
    <xf numFmtId="1" fontId="23" fillId="5" borderId="26" xfId="0" applyNumberFormat="1" applyFont="1" applyFill="1" applyBorder="1" applyAlignment="1" applyProtection="1">
      <alignment horizontal="center" vertical="center" wrapText="1"/>
      <protection hidden="1"/>
    </xf>
    <xf numFmtId="0" fontId="25" fillId="2" borderId="12" xfId="0" applyFont="1" applyFill="1" applyBorder="1" applyAlignment="1" applyProtection="1">
      <alignment horizontal="right" vertical="center"/>
      <protection hidden="1"/>
    </xf>
    <xf numFmtId="0" fontId="25" fillId="2" borderId="1" xfId="0" applyFont="1" applyFill="1" applyBorder="1" applyAlignment="1" applyProtection="1">
      <alignment horizontal="right" vertical="center"/>
      <protection hidden="1"/>
    </xf>
    <xf numFmtId="0" fontId="23" fillId="5" borderId="9" xfId="0" applyFont="1" applyFill="1" applyBorder="1" applyAlignment="1" applyProtection="1">
      <alignment horizontal="right" vertical="center" wrapText="1"/>
      <protection hidden="1"/>
    </xf>
    <xf numFmtId="164" fontId="23" fillId="5" borderId="26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48" fillId="0" borderId="0" xfId="0" applyFont="1" applyFill="1" applyBorder="1" applyAlignment="1" applyProtection="1">
      <protection hidden="1"/>
    </xf>
    <xf numFmtId="0" fontId="0" fillId="0" borderId="0" xfId="0" applyFill="1" applyBorder="1" applyProtection="1"/>
    <xf numFmtId="0" fontId="39" fillId="0" borderId="0" xfId="0" applyFont="1" applyFill="1" applyBorder="1" applyProtection="1">
      <protection hidden="1"/>
    </xf>
    <xf numFmtId="164" fontId="39" fillId="0" borderId="0" xfId="0" applyNumberFormat="1" applyFont="1" applyFill="1" applyBorder="1" applyProtection="1">
      <protection hidden="1"/>
    </xf>
    <xf numFmtId="0" fontId="39" fillId="0" borderId="0" xfId="0" applyFont="1" applyBorder="1" applyProtection="1">
      <protection hidden="1"/>
    </xf>
    <xf numFmtId="164" fontId="39" fillId="0" borderId="0" xfId="0" quotePrefix="1" applyNumberFormat="1" applyFont="1" applyFill="1" applyBorder="1" applyProtection="1">
      <protection hidden="1"/>
    </xf>
    <xf numFmtId="0" fontId="45" fillId="0" borderId="0" xfId="0" applyFont="1" applyFill="1" applyBorder="1" applyProtection="1"/>
    <xf numFmtId="0" fontId="48" fillId="0" borderId="0" xfId="0" applyFont="1" applyFill="1" applyBorder="1" applyAlignment="1" applyProtection="1">
      <alignment horizontal="left" wrapText="1"/>
      <protection hidden="1"/>
    </xf>
    <xf numFmtId="0" fontId="11" fillId="0" borderId="30" xfId="0" applyFont="1" applyBorder="1" applyAlignment="1" applyProtection="1">
      <alignment horizontal="center" vertical="center" wrapText="1"/>
      <protection hidden="1"/>
    </xf>
    <xf numFmtId="0" fontId="11" fillId="0" borderId="31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/>
      <protection hidden="1"/>
    </xf>
    <xf numFmtId="0" fontId="13" fillId="0" borderId="34" xfId="0" applyFont="1" applyFill="1" applyBorder="1" applyAlignment="1" applyProtection="1">
      <alignment horizontal="center"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center" wrapText="1"/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0" fontId="13" fillId="0" borderId="34" xfId="0" applyFont="1" applyBorder="1" applyAlignment="1" applyProtection="1">
      <alignment horizontal="center"/>
      <protection hidden="1"/>
    </xf>
    <xf numFmtId="0" fontId="13" fillId="0" borderId="35" xfId="0" applyFont="1" applyBorder="1" applyAlignment="1" applyProtection="1">
      <alignment horizontal="center"/>
      <protection hidden="1"/>
    </xf>
    <xf numFmtId="0" fontId="11" fillId="0" borderId="32" xfId="0" applyFont="1" applyBorder="1" applyProtection="1">
      <protection hidden="1"/>
    </xf>
    <xf numFmtId="0" fontId="7" fillId="0" borderId="32" xfId="0" applyFont="1" applyFill="1" applyBorder="1" applyAlignment="1" applyProtection="1">
      <alignment horizontal="right" vertical="center"/>
      <protection hidden="1"/>
    </xf>
    <xf numFmtId="0" fontId="11" fillId="0" borderId="32" xfId="0" applyFont="1" applyFill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right"/>
      <protection hidden="1"/>
    </xf>
    <xf numFmtId="0" fontId="11" fillId="0" borderId="33" xfId="0" applyFont="1" applyBorder="1" applyAlignment="1" applyProtection="1">
      <alignment horizontal="right"/>
      <protection hidden="1"/>
    </xf>
    <xf numFmtId="0" fontId="11" fillId="0" borderId="34" xfId="0" applyFont="1" applyBorder="1" applyAlignment="1" applyProtection="1">
      <alignment horizontal="right"/>
      <protection hidden="1"/>
    </xf>
    <xf numFmtId="0" fontId="7" fillId="0" borderId="35" xfId="0" applyFont="1" applyBorder="1" applyAlignment="1" applyProtection="1">
      <alignment horizontal="right"/>
      <protection hidden="1"/>
    </xf>
    <xf numFmtId="164" fontId="11" fillId="0" borderId="26" xfId="0" applyNumberFormat="1" applyFont="1" applyFill="1" applyBorder="1" applyAlignment="1" applyProtection="1">
      <alignment horizontal="center" vertical="center"/>
      <protection hidden="1"/>
    </xf>
    <xf numFmtId="0" fontId="11" fillId="0" borderId="36" xfId="0" applyFont="1" applyFill="1" applyBorder="1" applyAlignment="1" applyProtection="1">
      <alignment horizontal="right"/>
      <protection hidden="1"/>
    </xf>
    <xf numFmtId="1" fontId="11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right"/>
      <protection hidden="1"/>
    </xf>
    <xf numFmtId="164" fontId="11" fillId="0" borderId="26" xfId="0" applyNumberFormat="1" applyFont="1" applyFill="1" applyBorder="1" applyAlignment="1" applyProtection="1">
      <alignment horizontal="left" vertical="center"/>
      <protection hidden="1"/>
    </xf>
    <xf numFmtId="2" fontId="11" fillId="0" borderId="26" xfId="0" applyNumberFormat="1" applyFont="1" applyFill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/>
      <protection hidden="1"/>
    </xf>
    <xf numFmtId="1" fontId="1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5" borderId="32" xfId="0" applyNumberFormat="1" applyFont="1" applyFill="1" applyBorder="1" applyAlignment="1" applyProtection="1">
      <alignment horizontal="center" vertical="center"/>
      <protection hidden="1"/>
    </xf>
    <xf numFmtId="1" fontId="23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3" fillId="5" borderId="32" xfId="0" applyNumberFormat="1" applyFont="1" applyFill="1" applyBorder="1" applyAlignment="1" applyProtection="1">
      <alignment horizontal="center" vertical="center"/>
      <protection hidden="1"/>
    </xf>
    <xf numFmtId="0" fontId="23" fillId="5" borderId="32" xfId="0" applyFont="1" applyFill="1" applyBorder="1" applyAlignment="1" applyProtection="1">
      <alignment horizontal="left" vertical="center"/>
      <protection hidden="1"/>
    </xf>
    <xf numFmtId="0" fontId="23" fillId="5" borderId="32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/>
    </xf>
    <xf numFmtId="0" fontId="51" fillId="0" borderId="0" xfId="0" applyFont="1" applyBorder="1" applyAlignment="1" applyProtection="1">
      <alignment horizontal="left"/>
    </xf>
    <xf numFmtId="0" fontId="45" fillId="0" borderId="0" xfId="0" applyFont="1" applyBorder="1" applyAlignment="1" applyProtection="1">
      <alignment horizontal="left"/>
    </xf>
    <xf numFmtId="0" fontId="16" fillId="0" borderId="0" xfId="0" applyFont="1" applyFill="1" applyBorder="1" applyAlignment="1" applyProtection="1">
      <alignment vertical="center" wrapText="1"/>
      <protection hidden="1"/>
    </xf>
    <xf numFmtId="0" fontId="51" fillId="0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Protection="1"/>
    <xf numFmtId="0" fontId="45" fillId="0" borderId="0" xfId="0" applyFont="1" applyFill="1" applyBorder="1" applyProtection="1">
      <protection hidden="1"/>
    </xf>
    <xf numFmtId="0" fontId="52" fillId="0" borderId="0" xfId="0" applyFont="1" applyFill="1" applyBorder="1" applyAlignment="1" applyProtection="1">
      <alignment horizontal="left" vertical="top"/>
      <protection hidden="1"/>
    </xf>
    <xf numFmtId="0" fontId="47" fillId="0" borderId="0" xfId="0" applyFont="1" applyFill="1" applyBorder="1" applyAlignment="1" applyProtection="1">
      <alignment horizontal="left"/>
      <protection hidden="1"/>
    </xf>
    <xf numFmtId="0" fontId="51" fillId="0" borderId="0" xfId="0" applyFont="1" applyFill="1" applyBorder="1" applyAlignment="1" applyProtection="1">
      <alignment horizontal="left" vertical="top"/>
      <protection hidden="1"/>
    </xf>
    <xf numFmtId="0" fontId="5" fillId="0" borderId="0" xfId="0" applyFont="1" applyBorder="1" applyProtection="1"/>
    <xf numFmtId="0" fontId="46" fillId="0" borderId="0" xfId="0" applyFont="1" applyFill="1" applyBorder="1" applyProtection="1">
      <protection hidden="1"/>
    </xf>
    <xf numFmtId="0" fontId="46" fillId="0" borderId="0" xfId="0" applyFont="1" applyFill="1" applyBorder="1" applyAlignment="1" applyProtection="1">
      <alignment horizontal="right"/>
      <protection hidden="1"/>
    </xf>
    <xf numFmtId="0" fontId="50" fillId="0" borderId="0" xfId="0" applyFont="1" applyFill="1" applyBorder="1" applyAlignment="1" applyProtection="1">
      <alignment horizontal="right"/>
      <protection hidden="1"/>
    </xf>
    <xf numFmtId="0" fontId="52" fillId="0" borderId="0" xfId="0" applyFont="1" applyFill="1" applyBorder="1" applyProtection="1">
      <protection hidden="1"/>
    </xf>
    <xf numFmtId="0" fontId="51" fillId="0" borderId="0" xfId="0" applyFont="1" applyFill="1" applyBorder="1" applyProtection="1">
      <protection hidden="1"/>
    </xf>
    <xf numFmtId="0" fontId="52" fillId="0" borderId="0" xfId="0" applyFont="1" applyFill="1" applyBorder="1" applyAlignment="1" applyProtection="1">
      <alignment horizontal="left"/>
      <protection hidden="1"/>
    </xf>
    <xf numFmtId="0" fontId="4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46" fillId="0" borderId="0" xfId="0" applyFont="1" applyFill="1" applyBorder="1" applyProtection="1"/>
    <xf numFmtId="0" fontId="49" fillId="0" borderId="0" xfId="0" applyFont="1" applyFill="1" applyBorder="1" applyProtection="1"/>
    <xf numFmtId="0" fontId="50" fillId="0" borderId="0" xfId="0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8" fillId="0" borderId="0" xfId="0" applyFont="1" applyFill="1" applyBorder="1" applyAlignment="1" applyProtection="1">
      <alignment horizontal="center" wrapText="1"/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0" fontId="49" fillId="0" borderId="0" xfId="0" applyFont="1" applyFill="1" applyBorder="1" applyAlignment="1" applyProtection="1">
      <alignment horizontal="center"/>
      <protection hidden="1"/>
    </xf>
    <xf numFmtId="0" fontId="55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  <protection hidden="1"/>
    </xf>
    <xf numFmtId="0" fontId="0" fillId="0" borderId="39" xfId="0" applyBorder="1" applyProtection="1"/>
    <xf numFmtId="0" fontId="46" fillId="6" borderId="0" xfId="0" applyFont="1" applyFill="1" applyBorder="1" applyProtection="1">
      <protection hidden="1"/>
    </xf>
    <xf numFmtId="0" fontId="46" fillId="6" borderId="0" xfId="0" applyFont="1" applyFill="1" applyBorder="1" applyAlignment="1" applyProtection="1">
      <alignment horizontal="right"/>
      <protection hidden="1"/>
    </xf>
    <xf numFmtId="0" fontId="50" fillId="6" borderId="0" xfId="0" applyFont="1" applyFill="1" applyBorder="1" applyAlignment="1" applyProtection="1">
      <alignment horizontal="right"/>
      <protection hidden="1"/>
    </xf>
    <xf numFmtId="164" fontId="15" fillId="6" borderId="0" xfId="0" applyNumberFormat="1" applyFont="1" applyFill="1" applyBorder="1" applyProtection="1">
      <protection hidden="1"/>
    </xf>
    <xf numFmtId="164" fontId="41" fillId="6" borderId="0" xfId="0" applyNumberFormat="1" applyFont="1" applyFill="1" applyBorder="1" applyProtection="1">
      <protection hidden="1"/>
    </xf>
    <xf numFmtId="164" fontId="39" fillId="6" borderId="0" xfId="0" applyNumberFormat="1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center"/>
    </xf>
    <xf numFmtId="0" fontId="49" fillId="6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Fill="1" applyBorder="1" applyProtection="1"/>
    <xf numFmtId="0" fontId="49" fillId="0" borderId="0" xfId="0" applyFont="1" applyFill="1" applyBorder="1" applyProtection="1">
      <protection hidden="1"/>
    </xf>
    <xf numFmtId="0" fontId="12" fillId="6" borderId="0" xfId="0" applyFont="1" applyFill="1" applyBorder="1" applyAlignment="1" applyProtection="1">
      <alignment horizontal="center"/>
    </xf>
    <xf numFmtId="0" fontId="12" fillId="6" borderId="0" xfId="0" applyFont="1" applyFill="1" applyBorder="1" applyProtection="1">
      <protection hidden="1"/>
    </xf>
    <xf numFmtId="0" fontId="47" fillId="6" borderId="0" xfId="0" applyFont="1" applyFill="1" applyBorder="1" applyProtection="1"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9" fillId="6" borderId="0" xfId="0" applyFont="1" applyFill="1" applyBorder="1" applyProtection="1">
      <protection hidden="1"/>
    </xf>
    <xf numFmtId="0" fontId="18" fillId="6" borderId="0" xfId="0" applyFont="1" applyFill="1" applyBorder="1" applyProtection="1">
      <protection hidden="1"/>
    </xf>
    <xf numFmtId="0" fontId="19" fillId="6" borderId="0" xfId="0" applyFont="1" applyFill="1" applyBorder="1" applyProtection="1"/>
    <xf numFmtId="0" fontId="12" fillId="6" borderId="37" xfId="0" applyFont="1" applyFill="1" applyBorder="1" applyAlignment="1" applyProtection="1">
      <alignment horizontal="center"/>
    </xf>
    <xf numFmtId="0" fontId="12" fillId="6" borderId="37" xfId="0" applyFont="1" applyFill="1" applyBorder="1" applyProtection="1">
      <protection hidden="1"/>
    </xf>
    <xf numFmtId="0" fontId="19" fillId="6" borderId="37" xfId="0" applyFont="1" applyFill="1" applyBorder="1" applyProtection="1">
      <protection hidden="1"/>
    </xf>
    <xf numFmtId="0" fontId="12" fillId="6" borderId="38" xfId="0" applyFont="1" applyFill="1" applyBorder="1" applyAlignment="1" applyProtection="1">
      <alignment horizontal="center"/>
    </xf>
    <xf numFmtId="0" fontId="12" fillId="6" borderId="38" xfId="0" applyFont="1" applyFill="1" applyBorder="1" applyProtection="1">
      <protection hidden="1"/>
    </xf>
    <xf numFmtId="0" fontId="18" fillId="6" borderId="38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1" fontId="13" fillId="0" borderId="0" xfId="0" applyNumberFormat="1" applyFont="1" applyFill="1" applyBorder="1" applyProtection="1">
      <protection hidden="1"/>
    </xf>
    <xf numFmtId="1" fontId="13" fillId="0" borderId="0" xfId="0" applyNumberFormat="1" applyFont="1" applyBorder="1" applyProtection="1">
      <protection hidden="1"/>
    </xf>
    <xf numFmtId="0" fontId="4" fillId="12" borderId="0" xfId="0" applyFont="1" applyFill="1" applyBorder="1" applyAlignment="1" applyProtection="1">
      <alignment vertical="center"/>
    </xf>
    <xf numFmtId="0" fontId="57" fillId="12" borderId="0" xfId="0" applyFont="1" applyFill="1" applyBorder="1" applyAlignment="1" applyProtection="1">
      <alignment vertical="center"/>
    </xf>
    <xf numFmtId="0" fontId="58" fillId="12" borderId="0" xfId="0" applyFont="1" applyFill="1" applyBorder="1" applyProtection="1"/>
    <xf numFmtId="0" fontId="57" fillId="12" borderId="0" xfId="0" applyFont="1" applyFill="1" applyBorder="1" applyAlignment="1" applyProtection="1">
      <alignment horizontal="right"/>
    </xf>
    <xf numFmtId="0" fontId="0" fillId="12" borderId="0" xfId="0" applyFill="1" applyBorder="1" applyAlignment="1" applyProtection="1">
      <alignment horizontal="right"/>
    </xf>
    <xf numFmtId="0" fontId="37" fillId="12" borderId="0" xfId="0" applyFont="1" applyFill="1" applyBorder="1" applyAlignment="1" applyProtection="1">
      <alignment horizontal="center" vertical="center" wrapText="1"/>
      <protection hidden="1"/>
    </xf>
    <xf numFmtId="0" fontId="19" fillId="12" borderId="0" xfId="0" applyFont="1" applyFill="1" applyBorder="1" applyProtection="1"/>
    <xf numFmtId="0" fontId="19" fillId="12" borderId="0" xfId="0" applyFont="1" applyFill="1" applyBorder="1" applyAlignment="1" applyProtection="1">
      <alignment horizontal="left"/>
      <protection hidden="1"/>
    </xf>
    <xf numFmtId="0" fontId="19" fillId="12" borderId="0" xfId="0" applyFont="1" applyFill="1" applyBorder="1" applyAlignment="1" applyProtection="1">
      <alignment horizontal="right"/>
    </xf>
    <xf numFmtId="0" fontId="34" fillId="12" borderId="0" xfId="0" applyFont="1" applyFill="1" applyBorder="1" applyAlignment="1" applyProtection="1">
      <alignment horizontal="right"/>
    </xf>
    <xf numFmtId="0" fontId="23" fillId="12" borderId="0" xfId="0" applyFont="1" applyFill="1" applyBorder="1" applyAlignment="1" applyProtection="1">
      <alignment horizontal="left"/>
    </xf>
    <xf numFmtId="0" fontId="23" fillId="12" borderId="0" xfId="0" applyFont="1" applyFill="1" applyBorder="1" applyAlignment="1" applyProtection="1">
      <alignment horizontal="left"/>
      <protection hidden="1"/>
    </xf>
    <xf numFmtId="0" fontId="9" fillId="12" borderId="0" xfId="0" applyFont="1" applyFill="1" applyBorder="1" applyAlignment="1" applyProtection="1">
      <alignment horizontal="center" vertical="center" wrapText="1"/>
    </xf>
    <xf numFmtId="0" fontId="66" fillId="12" borderId="0" xfId="0" applyFont="1" applyFill="1" applyBorder="1" applyAlignment="1" applyProtection="1">
      <alignment vertical="center"/>
    </xf>
    <xf numFmtId="0" fontId="66" fillId="12" borderId="0" xfId="0" applyFont="1" applyFill="1" applyBorder="1" applyProtection="1"/>
    <xf numFmtId="0" fontId="66" fillId="12" borderId="0" xfId="0" applyFont="1" applyFill="1" applyBorder="1" applyAlignment="1" applyProtection="1">
      <alignment horizontal="right"/>
    </xf>
    <xf numFmtId="0" fontId="66" fillId="12" borderId="0" xfId="0" applyFont="1" applyFill="1" applyBorder="1" applyAlignment="1" applyProtection="1">
      <alignment horizontal="center"/>
    </xf>
    <xf numFmtId="0" fontId="67" fillId="12" borderId="0" xfId="0" applyFont="1" applyFill="1" applyBorder="1" applyAlignment="1" applyProtection="1">
      <alignment horizontal="right" wrapText="1"/>
    </xf>
    <xf numFmtId="0" fontId="10" fillId="12" borderId="0" xfId="0" applyFont="1" applyFill="1" applyBorder="1" applyAlignment="1" applyProtection="1">
      <alignment horizontal="center" vertical="center"/>
    </xf>
    <xf numFmtId="0" fontId="0" fillId="0" borderId="32" xfId="0" applyBorder="1" applyProtection="1">
      <protection hidden="1"/>
    </xf>
    <xf numFmtId="0" fontId="0" fillId="0" borderId="32" xfId="0" applyBorder="1" applyProtection="1"/>
    <xf numFmtId="0" fontId="1" fillId="0" borderId="32" xfId="0" applyFont="1" applyBorder="1" applyAlignment="1" applyProtection="1">
      <alignment vertical="top" wrapText="1"/>
    </xf>
    <xf numFmtId="165" fontId="0" fillId="0" borderId="32" xfId="0" applyNumberFormat="1" applyBorder="1" applyProtection="1">
      <protection hidden="1"/>
    </xf>
    <xf numFmtId="0" fontId="1" fillId="0" borderId="32" xfId="0" applyFont="1" applyBorder="1" applyProtection="1"/>
    <xf numFmtId="21" fontId="0" fillId="0" borderId="32" xfId="0" applyNumberFormat="1" applyBorder="1" applyProtection="1"/>
    <xf numFmtId="0" fontId="1" fillId="0" borderId="32" xfId="0" applyFont="1" applyFill="1" applyBorder="1" applyProtection="1"/>
    <xf numFmtId="0" fontId="11" fillId="0" borderId="34" xfId="0" applyFont="1" applyBorder="1" applyAlignment="1" applyProtection="1">
      <alignment horizontal="center" vertical="center" wrapText="1"/>
      <protection hidden="1"/>
    </xf>
    <xf numFmtId="0" fontId="0" fillId="12" borderId="0" xfId="0" applyFill="1" applyBorder="1" applyProtection="1"/>
    <xf numFmtId="0" fontId="5" fillId="12" borderId="0" xfId="0" applyFont="1" applyFill="1" applyBorder="1" applyAlignment="1" applyProtection="1">
      <alignment horizontal="left"/>
    </xf>
    <xf numFmtId="0" fontId="19" fillId="12" borderId="0" xfId="0" applyFont="1" applyFill="1" applyBorder="1" applyAlignment="1" applyProtection="1">
      <alignment horizontal="left" vertical="center"/>
    </xf>
    <xf numFmtId="0" fontId="5" fillId="12" borderId="0" xfId="0" applyFont="1" applyFill="1" applyBorder="1" applyProtection="1"/>
    <xf numFmtId="0" fontId="54" fillId="12" borderId="0" xfId="0" applyFont="1" applyFill="1" applyBorder="1" applyAlignment="1" applyProtection="1">
      <alignment horizontal="right"/>
    </xf>
    <xf numFmtId="0" fontId="54" fillId="12" borderId="0" xfId="0" applyFont="1" applyFill="1" applyBorder="1" applyProtection="1"/>
    <xf numFmtId="0" fontId="34" fillId="12" borderId="0" xfId="0" applyFont="1" applyFill="1" applyBorder="1" applyProtection="1"/>
    <xf numFmtId="0" fontId="34" fillId="12" borderId="0" xfId="0" applyFont="1" applyFill="1" applyBorder="1" applyAlignment="1" applyProtection="1">
      <alignment vertical="center"/>
      <protection hidden="1"/>
    </xf>
    <xf numFmtId="0" fontId="0" fillId="12" borderId="0" xfId="0" applyFill="1" applyBorder="1" applyAlignment="1" applyProtection="1">
      <alignment horizontal="right"/>
      <protection hidden="1"/>
    </xf>
    <xf numFmtId="0" fontId="39" fillId="12" borderId="0" xfId="0" applyFont="1" applyFill="1" applyBorder="1" applyAlignment="1" applyProtection="1">
      <alignment vertical="center"/>
      <protection hidden="1"/>
    </xf>
    <xf numFmtId="0" fontId="34" fillId="12" borderId="0" xfId="0" applyFont="1" applyFill="1" applyBorder="1" applyAlignment="1" applyProtection="1">
      <alignment vertical="center"/>
    </xf>
    <xf numFmtId="0" fontId="18" fillId="12" borderId="0" xfId="0" applyFont="1" applyFill="1" applyBorder="1" applyAlignment="1" applyProtection="1">
      <alignment horizontal="center"/>
    </xf>
    <xf numFmtId="0" fontId="1" fillId="6" borderId="0" xfId="0" applyFont="1" applyFill="1" applyBorder="1" applyAlignment="1" applyProtection="1">
      <alignment horizontal="center"/>
    </xf>
    <xf numFmtId="0" fontId="18" fillId="12" borderId="0" xfId="0" applyFont="1" applyFill="1" applyBorder="1" applyAlignment="1" applyProtection="1">
      <alignment horizontal="center" vertical="center"/>
      <protection hidden="1"/>
    </xf>
    <xf numFmtId="0" fontId="18" fillId="12" borderId="0" xfId="0" applyFont="1" applyFill="1" applyBorder="1" applyAlignment="1" applyProtection="1">
      <alignment horizontal="left"/>
    </xf>
    <xf numFmtId="0" fontId="18" fillId="12" borderId="0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/>
    <xf numFmtId="0" fontId="5" fillId="12" borderId="0" xfId="0" applyFont="1" applyFill="1" applyBorder="1" applyAlignment="1" applyProtection="1">
      <protection hidden="1"/>
    </xf>
    <xf numFmtId="0" fontId="19" fillId="12" borderId="0" xfId="0" applyFont="1" applyFill="1" applyBorder="1" applyAlignment="1" applyProtection="1"/>
    <xf numFmtId="0" fontId="57" fillId="12" borderId="0" xfId="0" applyFont="1" applyFill="1" applyBorder="1" applyAlignment="1" applyProtection="1">
      <alignment horizontal="left" wrapText="1"/>
      <protection hidden="1"/>
    </xf>
    <xf numFmtId="0" fontId="9" fillId="12" borderId="0" xfId="0" applyFont="1" applyFill="1" applyBorder="1" applyAlignment="1" applyProtection="1">
      <alignment horizontal="center" vertical="center"/>
    </xf>
    <xf numFmtId="0" fontId="19" fillId="12" borderId="0" xfId="0" applyFont="1" applyFill="1" applyBorder="1" applyAlignment="1" applyProtection="1">
      <alignment horizontal="left" indent="8"/>
    </xf>
    <xf numFmtId="0" fontId="16" fillId="12" borderId="0" xfId="0" applyFont="1" applyFill="1" applyBorder="1" applyAlignment="1" applyProtection="1">
      <alignment vertical="center"/>
    </xf>
    <xf numFmtId="0" fontId="55" fillId="12" borderId="0" xfId="0" applyFont="1" applyFill="1" applyBorder="1" applyAlignment="1" applyProtection="1">
      <alignment vertical="center"/>
    </xf>
    <xf numFmtId="0" fontId="19" fillId="12" borderId="0" xfId="0" applyFont="1" applyFill="1" applyBorder="1" applyAlignment="1" applyProtection="1">
      <alignment vertical="center"/>
    </xf>
    <xf numFmtId="0" fontId="59" fillId="12" borderId="0" xfId="0" applyFont="1" applyFill="1" applyBorder="1" applyAlignment="1" applyProtection="1">
      <alignment vertical="center"/>
    </xf>
    <xf numFmtId="0" fontId="60" fillId="12" borderId="0" xfId="0" applyFont="1" applyFill="1" applyBorder="1" applyProtection="1"/>
    <xf numFmtId="0" fontId="34" fillId="12" borderId="0" xfId="0" applyFont="1" applyFill="1" applyProtection="1"/>
    <xf numFmtId="0" fontId="1" fillId="12" borderId="0" xfId="0" applyFont="1" applyFill="1" applyBorder="1" applyProtection="1"/>
    <xf numFmtId="0" fontId="65" fillId="12" borderId="0" xfId="0" applyFont="1" applyFill="1" applyBorder="1" applyAlignment="1" applyProtection="1">
      <alignment horizontal="center" vertical="center"/>
    </xf>
    <xf numFmtId="0" fontId="65" fillId="0" borderId="0" xfId="0" applyFont="1" applyAlignment="1" applyProtection="1">
      <alignment horizontal="center" vertical="center"/>
    </xf>
    <xf numFmtId="0" fontId="16" fillId="12" borderId="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  <protection hidden="1"/>
    </xf>
    <xf numFmtId="0" fontId="13" fillId="0" borderId="34" xfId="0" applyFont="1" applyBorder="1" applyAlignment="1" applyProtection="1">
      <alignment horizontal="left" vertical="center"/>
      <protection hidden="1"/>
    </xf>
    <xf numFmtId="0" fontId="13" fillId="0" borderId="35" xfId="0" applyFont="1" applyBorder="1" applyAlignment="1" applyProtection="1">
      <alignment horizontal="left" vertical="center"/>
      <protection hidden="1"/>
    </xf>
    <xf numFmtId="0" fontId="11" fillId="0" borderId="32" xfId="0" applyFont="1" applyBorder="1" applyAlignment="1" applyProtection="1">
      <alignment horizontal="center"/>
    </xf>
    <xf numFmtId="0" fontId="74" fillId="0" borderId="0" xfId="0" applyFont="1" applyFill="1" applyBorder="1" applyProtection="1">
      <protection hidden="1"/>
    </xf>
    <xf numFmtId="0" fontId="74" fillId="0" borderId="0" xfId="0" applyFont="1" applyBorder="1" applyProtection="1">
      <protection hidden="1"/>
    </xf>
    <xf numFmtId="0" fontId="13" fillId="0" borderId="0" xfId="0" applyFont="1" applyBorder="1" applyProtection="1"/>
    <xf numFmtId="1" fontId="13" fillId="0" borderId="0" xfId="0" applyNumberFormat="1" applyFont="1" applyBorder="1" applyProtection="1"/>
    <xf numFmtId="0" fontId="75" fillId="0" borderId="0" xfId="0" applyFont="1" applyBorder="1" applyProtection="1">
      <protection hidden="1"/>
    </xf>
    <xf numFmtId="0" fontId="58" fillId="12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5" fillId="12" borderId="0" xfId="0" applyFont="1" applyFill="1" applyBorder="1" applyAlignment="1" applyProtection="1">
      <alignment horizontal="right"/>
    </xf>
    <xf numFmtId="0" fontId="55" fillId="12" borderId="0" xfId="0" applyFont="1" applyFill="1" applyBorder="1" applyAlignment="1" applyProtection="1">
      <alignment horizontal="left" vertical="center"/>
    </xf>
    <xf numFmtId="0" fontId="55" fillId="12" borderId="0" xfId="0" applyFont="1" applyFill="1" applyBorder="1" applyAlignment="1" applyProtection="1">
      <alignment horizontal="center" vertical="center"/>
      <protection hidden="1"/>
    </xf>
    <xf numFmtId="14" fontId="0" fillId="0" borderId="0" xfId="0" applyNumberFormat="1" applyBorder="1" applyProtection="1"/>
    <xf numFmtId="0" fontId="1" fillId="0" borderId="0" xfId="0" applyFont="1" applyFill="1" applyBorder="1" applyProtection="1"/>
    <xf numFmtId="165" fontId="1" fillId="0" borderId="0" xfId="0" applyNumberFormat="1" applyFont="1" applyFill="1" applyBorder="1" applyProtection="1"/>
    <xf numFmtId="0" fontId="0" fillId="12" borderId="0" xfId="0" applyFill="1" applyBorder="1" applyAlignment="1" applyProtection="1">
      <alignment horizontal="right"/>
    </xf>
    <xf numFmtId="0" fontId="69" fillId="12" borderId="0" xfId="0" applyFont="1" applyFill="1" applyAlignment="1" applyProtection="1"/>
    <xf numFmtId="0" fontId="0" fillId="12" borderId="0" xfId="0" applyFill="1" applyBorder="1" applyAlignment="1" applyProtection="1">
      <alignment horizontal="right"/>
    </xf>
    <xf numFmtId="0" fontId="8" fillId="12" borderId="0" xfId="0" applyFont="1" applyFill="1" applyBorder="1" applyAlignment="1" applyProtection="1">
      <alignment horizontal="center" vertical="center"/>
    </xf>
    <xf numFmtId="0" fontId="57" fillId="12" borderId="0" xfId="0" quotePrefix="1" applyFont="1" applyFill="1" applyBorder="1" applyProtection="1"/>
    <xf numFmtId="0" fontId="0" fillId="12" borderId="0" xfId="0" applyFill="1" applyBorder="1" applyAlignment="1" applyProtection="1">
      <alignment vertical="center"/>
    </xf>
    <xf numFmtId="0" fontId="7" fillId="12" borderId="0" xfId="0" applyFont="1" applyFill="1" applyBorder="1" applyProtection="1"/>
    <xf numFmtId="0" fontId="0" fillId="12" borderId="0" xfId="0" applyFill="1" applyBorder="1" applyAlignment="1" applyProtection="1"/>
    <xf numFmtId="0" fontId="22" fillId="12" borderId="0" xfId="0" applyFont="1" applyFill="1" applyBorder="1" applyAlignment="1" applyProtection="1">
      <alignment vertical="top"/>
    </xf>
    <xf numFmtId="0" fontId="6" fillId="12" borderId="0" xfId="0" applyFont="1" applyFill="1" applyBorder="1" applyAlignment="1" applyProtection="1">
      <alignment vertical="center"/>
    </xf>
    <xf numFmtId="0" fontId="7" fillId="12" borderId="0" xfId="0" applyFont="1" applyFill="1" applyBorder="1" applyAlignment="1" applyProtection="1">
      <alignment horizontal="right"/>
    </xf>
    <xf numFmtId="0" fontId="6" fillId="12" borderId="0" xfId="0" applyFont="1" applyFill="1" applyBorder="1" applyAlignment="1" applyProtection="1">
      <alignment horizontal="center" vertical="center"/>
    </xf>
    <xf numFmtId="0" fontId="23" fillId="12" borderId="0" xfId="0" applyFont="1" applyFill="1" applyBorder="1" applyAlignment="1" applyProtection="1">
      <alignment vertical="center"/>
    </xf>
    <xf numFmtId="0" fontId="8" fillId="12" borderId="0" xfId="0" applyFont="1" applyFill="1" applyBorder="1" applyAlignment="1" applyProtection="1">
      <alignment horizontal="center"/>
    </xf>
    <xf numFmtId="0" fontId="2" fillId="12" borderId="0" xfId="0" applyFont="1" applyFill="1" applyBorder="1" applyAlignment="1" applyProtection="1">
      <alignment horizontal="right" wrapText="1"/>
    </xf>
    <xf numFmtId="0" fontId="3" fillId="12" borderId="0" xfId="0" applyFont="1" applyFill="1" applyBorder="1" applyAlignment="1" applyProtection="1">
      <alignment horizontal="right" wrapText="1"/>
    </xf>
    <xf numFmtId="0" fontId="6" fillId="12" borderId="0" xfId="0" applyFont="1" applyFill="1" applyBorder="1" applyAlignment="1" applyProtection="1">
      <alignment horizontal="left" vertical="center"/>
    </xf>
    <xf numFmtId="0" fontId="45" fillId="12" borderId="0" xfId="0" applyFont="1" applyFill="1" applyBorder="1" applyAlignment="1" applyProtection="1">
      <alignment vertical="center"/>
    </xf>
    <xf numFmtId="0" fontId="61" fillId="12" borderId="0" xfId="0" applyFont="1" applyFill="1" applyAlignment="1" applyProtection="1">
      <alignment horizontal="left" readingOrder="1"/>
    </xf>
    <xf numFmtId="0" fontId="57" fillId="12" borderId="0" xfId="0" applyFont="1" applyFill="1" applyBorder="1" applyProtection="1"/>
    <xf numFmtId="0" fontId="11" fillId="12" borderId="26" xfId="0" applyFont="1" applyFill="1" applyBorder="1" applyAlignment="1" applyProtection="1">
      <alignment horizontal="center" vertical="top" wrapText="1"/>
      <protection hidden="1"/>
    </xf>
    <xf numFmtId="0" fontId="11" fillId="12" borderId="32" xfId="0" applyFont="1" applyFill="1" applyBorder="1" applyAlignment="1" applyProtection="1">
      <alignment horizontal="center" vertical="top" wrapText="1"/>
      <protection hidden="1"/>
    </xf>
    <xf numFmtId="0" fontId="11" fillId="12" borderId="33" xfId="0" applyFont="1" applyFill="1" applyBorder="1" applyAlignment="1" applyProtection="1">
      <alignment horizontal="center" vertical="top" wrapText="1"/>
      <protection hidden="1"/>
    </xf>
    <xf numFmtId="0" fontId="11" fillId="12" borderId="32" xfId="0" applyFont="1" applyFill="1" applyBorder="1" applyAlignment="1" applyProtection="1">
      <alignment horizontal="left" vertical="top" wrapText="1"/>
      <protection hidden="1"/>
    </xf>
    <xf numFmtId="0" fontId="11" fillId="12" borderId="0" xfId="0" applyFont="1" applyFill="1" applyBorder="1" applyAlignment="1" applyProtection="1">
      <alignment horizontal="left" vertical="top" wrapText="1"/>
      <protection hidden="1"/>
    </xf>
    <xf numFmtId="0" fontId="12" fillId="12" borderId="0" xfId="0" applyFont="1" applyFill="1" applyBorder="1" applyAlignment="1" applyProtection="1">
      <alignment vertical="center"/>
    </xf>
    <xf numFmtId="0" fontId="46" fillId="12" borderId="0" xfId="0" applyFont="1" applyFill="1" applyBorder="1" applyProtection="1">
      <protection hidden="1"/>
    </xf>
    <xf numFmtId="0" fontId="49" fillId="12" borderId="0" xfId="0" applyFont="1" applyFill="1" applyBorder="1" applyProtection="1">
      <protection hidden="1"/>
    </xf>
    <xf numFmtId="0" fontId="46" fillId="12" borderId="0" xfId="0" applyFont="1" applyFill="1" applyBorder="1" applyAlignment="1" applyProtection="1">
      <alignment horizontal="right"/>
      <protection hidden="1"/>
    </xf>
    <xf numFmtId="0" fontId="47" fillId="12" borderId="0" xfId="0" applyFont="1" applyFill="1" applyBorder="1" applyProtection="1">
      <protection hidden="1"/>
    </xf>
    <xf numFmtId="0" fontId="50" fillId="12" borderId="0" xfId="0" applyFont="1" applyFill="1" applyBorder="1" applyAlignment="1" applyProtection="1">
      <alignment horizontal="right"/>
      <protection hidden="1"/>
    </xf>
    <xf numFmtId="0" fontId="0" fillId="12" borderId="0" xfId="0" applyFill="1" applyBorder="1" applyAlignment="1" applyProtection="1">
      <alignment vertical="center"/>
      <protection hidden="1"/>
    </xf>
    <xf numFmtId="0" fontId="11" fillId="12" borderId="0" xfId="0" applyFont="1" applyFill="1" applyBorder="1" applyAlignment="1" applyProtection="1">
      <alignment horizontal="center" vertical="top"/>
      <protection hidden="1"/>
    </xf>
    <xf numFmtId="0" fontId="14" fillId="12" borderId="0" xfId="0" applyFont="1" applyFill="1" applyBorder="1" applyAlignment="1" applyProtection="1">
      <alignment horizontal="center" vertical="top" wrapText="1"/>
      <protection hidden="1"/>
    </xf>
    <xf numFmtId="0" fontId="11" fillId="12" borderId="0" xfId="0" applyFont="1" applyFill="1" applyBorder="1" applyAlignment="1" applyProtection="1">
      <alignment horizontal="center" vertical="top" wrapText="1"/>
      <protection hidden="1"/>
    </xf>
    <xf numFmtId="0" fontId="45" fillId="12" borderId="0" xfId="0" applyFont="1" applyFill="1" applyBorder="1" applyProtection="1">
      <protection hidden="1"/>
    </xf>
    <xf numFmtId="0" fontId="63" fillId="12" borderId="0" xfId="1" applyFont="1" applyFill="1" applyAlignment="1" applyProtection="1">
      <alignment horizontal="left" readingOrder="1"/>
    </xf>
    <xf numFmtId="0" fontId="11" fillId="12" borderId="29" xfId="0" applyFont="1" applyFill="1" applyBorder="1" applyAlignment="1" applyProtection="1">
      <alignment horizontal="center" vertical="center" wrapText="1"/>
      <protection hidden="1"/>
    </xf>
    <xf numFmtId="0" fontId="13" fillId="12" borderId="33" xfId="0" applyFont="1" applyFill="1" applyBorder="1" applyAlignment="1" applyProtection="1">
      <alignment horizontal="center" vertical="center" wrapText="1"/>
      <protection hidden="1"/>
    </xf>
    <xf numFmtId="0" fontId="13" fillId="12" borderId="33" xfId="0" applyFont="1" applyFill="1" applyBorder="1" applyAlignment="1" applyProtection="1">
      <alignment horizontal="center" vertical="center"/>
      <protection hidden="1"/>
    </xf>
    <xf numFmtId="0" fontId="13" fillId="12" borderId="33" xfId="0" applyFont="1" applyFill="1" applyBorder="1" applyAlignment="1" applyProtection="1">
      <alignment horizontal="left" vertical="center"/>
      <protection hidden="1"/>
    </xf>
    <xf numFmtId="0" fontId="13" fillId="12" borderId="0" xfId="0" applyFont="1" applyFill="1" applyBorder="1" applyAlignment="1" applyProtection="1">
      <alignment horizontal="left" vertical="center"/>
      <protection hidden="1"/>
    </xf>
    <xf numFmtId="0" fontId="56" fillId="12" borderId="0" xfId="0" applyFont="1" applyFill="1" applyAlignment="1" applyProtection="1">
      <alignment horizontal="left"/>
    </xf>
    <xf numFmtId="0" fontId="7" fillId="12" borderId="0" xfId="0" applyFont="1" applyFill="1" applyBorder="1" applyProtection="1">
      <protection hidden="1"/>
    </xf>
    <xf numFmtId="0" fontId="49" fillId="12" borderId="0" xfId="0" applyFont="1" applyFill="1" applyBorder="1" applyAlignment="1" applyProtection="1">
      <alignment horizontal="left"/>
      <protection hidden="1"/>
    </xf>
    <xf numFmtId="0" fontId="14" fillId="12" borderId="0" xfId="0" applyFont="1" applyFill="1" applyBorder="1" applyAlignment="1" applyProtection="1">
      <alignment horizontal="center" vertical="center" wrapText="1"/>
      <protection hidden="1"/>
    </xf>
    <xf numFmtId="0" fontId="13" fillId="12" borderId="0" xfId="0" applyFont="1" applyFill="1" applyBorder="1" applyAlignment="1" applyProtection="1">
      <alignment horizontal="center" vertical="center" wrapText="1"/>
      <protection hidden="1"/>
    </xf>
    <xf numFmtId="0" fontId="51" fillId="12" borderId="0" xfId="0" applyFont="1" applyFill="1" applyBorder="1" applyAlignment="1" applyProtection="1">
      <alignment horizontal="left"/>
      <protection hidden="1"/>
    </xf>
    <xf numFmtId="0" fontId="52" fillId="12" borderId="0" xfId="0" applyFont="1" applyFill="1" applyBorder="1" applyProtection="1">
      <protection hidden="1"/>
    </xf>
    <xf numFmtId="0" fontId="11" fillId="12" borderId="30" xfId="0" applyFont="1" applyFill="1" applyBorder="1" applyAlignment="1" applyProtection="1">
      <alignment horizontal="center" vertical="center" wrapText="1"/>
      <protection hidden="1"/>
    </xf>
    <xf numFmtId="0" fontId="13" fillId="12" borderId="34" xfId="0" applyFont="1" applyFill="1" applyBorder="1" applyAlignment="1" applyProtection="1">
      <alignment horizontal="center" vertical="center" wrapText="1"/>
      <protection hidden="1"/>
    </xf>
    <xf numFmtId="0" fontId="13" fillId="12" borderId="34" xfId="0" applyFont="1" applyFill="1" applyBorder="1" applyAlignment="1" applyProtection="1">
      <alignment horizontal="center" vertical="center"/>
      <protection hidden="1"/>
    </xf>
    <xf numFmtId="0" fontId="13" fillId="12" borderId="34" xfId="0" applyFont="1" applyFill="1" applyBorder="1" applyAlignment="1" applyProtection="1">
      <alignment horizontal="left" vertical="center"/>
      <protection hidden="1"/>
    </xf>
    <xf numFmtId="0" fontId="12" fillId="12" borderId="0" xfId="0" applyFont="1" applyFill="1" applyBorder="1" applyAlignment="1" applyProtection="1">
      <alignment horizontal="center"/>
    </xf>
    <xf numFmtId="0" fontId="12" fillId="12" borderId="0" xfId="0" applyFont="1" applyFill="1" applyBorder="1" applyProtection="1">
      <protection hidden="1"/>
    </xf>
    <xf numFmtId="0" fontId="45" fillId="12" borderId="0" xfId="0" applyFont="1" applyFill="1" applyBorder="1" applyAlignment="1" applyProtection="1">
      <alignment horizontal="left"/>
      <protection hidden="1"/>
    </xf>
    <xf numFmtId="0" fontId="0" fillId="12" borderId="0" xfId="0" applyFill="1" applyBorder="1" applyProtection="1">
      <protection hidden="1"/>
    </xf>
    <xf numFmtId="0" fontId="11" fillId="12" borderId="0" xfId="0" applyFont="1" applyFill="1" applyBorder="1" applyAlignment="1" applyProtection="1">
      <protection hidden="1"/>
    </xf>
    <xf numFmtId="0" fontId="55" fillId="12" borderId="0" xfId="0" applyFont="1" applyFill="1" applyBorder="1" applyAlignment="1" applyProtection="1">
      <alignment vertical="center" wrapText="1"/>
      <protection hidden="1"/>
    </xf>
    <xf numFmtId="0" fontId="58" fillId="12" borderId="0" xfId="0" applyFont="1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right"/>
    </xf>
    <xf numFmtId="0" fontId="18" fillId="12" borderId="0" xfId="0" applyFont="1" applyFill="1" applyBorder="1" applyAlignment="1" applyProtection="1">
      <alignment horizontal="center"/>
    </xf>
    <xf numFmtId="0" fontId="61" fillId="12" borderId="0" xfId="0" applyFont="1" applyFill="1" applyBorder="1" applyAlignment="1" applyProtection="1">
      <alignment horizontal="left" readingOrder="1"/>
    </xf>
    <xf numFmtId="0" fontId="63" fillId="12" borderId="0" xfId="1" applyFont="1" applyFill="1" applyBorder="1" applyAlignment="1" applyProtection="1">
      <alignment horizontal="left" readingOrder="1"/>
    </xf>
    <xf numFmtId="0" fontId="0" fillId="12" borderId="0" xfId="0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Border="1" applyProtection="1"/>
    <xf numFmtId="0" fontId="22" fillId="0" borderId="0" xfId="0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Alignment="1" applyProtection="1">
      <alignment horizontal="right"/>
    </xf>
    <xf numFmtId="0" fontId="85" fillId="12" borderId="0" xfId="0" applyFont="1" applyFill="1" applyBorder="1" applyAlignment="1" applyProtection="1">
      <alignment horizontal="left" vertical="top"/>
    </xf>
    <xf numFmtId="0" fontId="69" fillId="12" borderId="0" xfId="0" applyFont="1" applyFill="1" applyAlignment="1" applyProtection="1"/>
    <xf numFmtId="0" fontId="62" fillId="0" borderId="0" xfId="1" applyAlignment="1" applyProtection="1"/>
    <xf numFmtId="0" fontId="19" fillId="12" borderId="0" xfId="0" applyFont="1" applyFill="1" applyBorder="1" applyAlignment="1" applyProtection="1">
      <alignment horizontal="center" vertical="center"/>
    </xf>
    <xf numFmtId="0" fontId="41" fillId="12" borderId="0" xfId="0" applyFont="1" applyFill="1" applyBorder="1" applyAlignment="1" applyProtection="1">
      <alignment horizontal="center"/>
    </xf>
    <xf numFmtId="0" fontId="53" fillId="12" borderId="0" xfId="0" applyFont="1" applyFill="1" applyBorder="1" applyAlignment="1" applyProtection="1">
      <alignment horizontal="center"/>
    </xf>
    <xf numFmtId="0" fontId="16" fillId="12" borderId="0" xfId="0" applyFont="1" applyFill="1" applyBorder="1" applyAlignment="1" applyProtection="1">
      <alignment horizontal="center"/>
    </xf>
    <xf numFmtId="0" fontId="18" fillId="12" borderId="0" xfId="0" applyFont="1" applyFill="1" applyBorder="1" applyAlignment="1" applyProtection="1">
      <alignment horizontal="center"/>
    </xf>
    <xf numFmtId="0" fontId="34" fillId="12" borderId="0" xfId="0" applyFont="1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center"/>
    </xf>
    <xf numFmtId="0" fontId="57" fillId="12" borderId="0" xfId="0" applyFont="1" applyFill="1" applyBorder="1" applyAlignment="1" applyProtection="1">
      <alignment horizontal="left" vertical="top" wrapText="1"/>
      <protection hidden="1"/>
    </xf>
    <xf numFmtId="0" fontId="16" fillId="12" borderId="0" xfId="0" applyFont="1" applyFill="1" applyBorder="1" applyAlignment="1" applyProtection="1">
      <alignment horizontal="center" vertical="center"/>
    </xf>
    <xf numFmtId="0" fontId="8" fillId="12" borderId="0" xfId="0" applyFont="1" applyFill="1" applyBorder="1" applyAlignment="1" applyProtection="1">
      <alignment horizontal="center" vertical="center"/>
    </xf>
    <xf numFmtId="0" fontId="72" fillId="12" borderId="0" xfId="0" applyFont="1" applyFill="1" applyBorder="1" applyAlignment="1" applyProtection="1">
      <alignment horizontal="center" vertical="center"/>
    </xf>
    <xf numFmtId="0" fontId="73" fillId="12" borderId="0" xfId="0" applyFont="1" applyFill="1" applyBorder="1" applyAlignment="1" applyProtection="1"/>
    <xf numFmtId="0" fontId="58" fillId="12" borderId="0" xfId="0" applyFont="1" applyFill="1" applyBorder="1" applyAlignment="1" applyProtection="1">
      <alignment horizontal="center" vertical="center"/>
    </xf>
    <xf numFmtId="0" fontId="70" fillId="12" borderId="0" xfId="0" applyFont="1" applyFill="1" applyBorder="1" applyAlignment="1" applyProtection="1">
      <alignment horizontal="center" vertical="center"/>
    </xf>
    <xf numFmtId="0" fontId="71" fillId="12" borderId="0" xfId="0" applyFont="1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center" vertical="center"/>
    </xf>
    <xf numFmtId="0" fontId="25" fillId="12" borderId="0" xfId="0" applyFont="1" applyFill="1" applyBorder="1" applyAlignment="1" applyProtection="1">
      <alignment horizontal="center" vertical="center" wrapText="1"/>
      <protection hidden="1"/>
    </xf>
    <xf numFmtId="0" fontId="65" fillId="12" borderId="0" xfId="0" applyFont="1" applyFill="1" applyBorder="1" applyAlignment="1" applyProtection="1">
      <alignment horizontal="left" vertical="center" wrapText="1"/>
      <protection hidden="1"/>
    </xf>
    <xf numFmtId="0" fontId="65" fillId="12" borderId="0" xfId="0" applyFont="1" applyFill="1" applyBorder="1" applyAlignment="1" applyProtection="1">
      <alignment vertical="center" wrapText="1"/>
    </xf>
    <xf numFmtId="1" fontId="25" fillId="12" borderId="0" xfId="0" applyNumberFormat="1" applyFont="1" applyFill="1" applyBorder="1" applyAlignment="1" applyProtection="1">
      <alignment horizontal="center" vertical="center"/>
      <protection hidden="1"/>
    </xf>
    <xf numFmtId="0" fontId="25" fillId="12" borderId="0" xfId="0" applyFont="1" applyFill="1" applyBorder="1" applyAlignment="1" applyProtection="1">
      <alignment horizontal="center" vertical="center"/>
    </xf>
    <xf numFmtId="0" fontId="79" fillId="12" borderId="0" xfId="0" applyFont="1" applyFill="1" applyBorder="1" applyAlignment="1" applyProtection="1">
      <alignment horizontal="left" vertical="center"/>
      <protection hidden="1"/>
    </xf>
    <xf numFmtId="0" fontId="79" fillId="12" borderId="0" xfId="0" applyFont="1" applyFill="1" applyBorder="1" applyAlignment="1" applyProtection="1">
      <alignment horizontal="left" vertical="center"/>
    </xf>
    <xf numFmtId="0" fontId="76" fillId="12" borderId="0" xfId="0" applyFont="1" applyFill="1" applyBorder="1" applyAlignment="1" applyProtection="1">
      <alignment horizontal="center" vertical="center"/>
      <protection hidden="1"/>
    </xf>
    <xf numFmtId="0" fontId="76" fillId="12" borderId="0" xfId="0" applyFont="1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right"/>
    </xf>
    <xf numFmtId="0" fontId="0" fillId="12" borderId="0" xfId="0" applyFill="1" applyBorder="1" applyAlignment="1" applyProtection="1"/>
    <xf numFmtId="0" fontId="18" fillId="12" borderId="0" xfId="0" applyFont="1" applyFill="1" applyBorder="1" applyAlignment="1" applyProtection="1">
      <alignment horizontal="left" vertical="center" wrapText="1"/>
      <protection hidden="1"/>
    </xf>
    <xf numFmtId="0" fontId="18" fillId="12" borderId="0" xfId="0" applyFont="1" applyFill="1" applyBorder="1" applyAlignment="1">
      <alignment vertical="center" wrapText="1"/>
    </xf>
    <xf numFmtId="164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5" fillId="12" borderId="0" xfId="0" applyFont="1" applyFill="1" applyBorder="1" applyAlignment="1" applyProtection="1">
      <alignment horizontal="left"/>
    </xf>
    <xf numFmtId="0" fontId="25" fillId="12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/>
    </xf>
    <xf numFmtId="0" fontId="18" fillId="12" borderId="0" xfId="0" applyFont="1" applyFill="1" applyBorder="1" applyAlignment="1" applyProtection="1">
      <alignment horizontal="left" vertical="center"/>
      <protection hidden="1"/>
    </xf>
    <xf numFmtId="0" fontId="18" fillId="12" borderId="0" xfId="0" applyFont="1" applyFill="1" applyBorder="1" applyAlignment="1">
      <alignment vertical="center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5" fillId="12" borderId="0" xfId="0" applyFont="1" applyFill="1" applyBorder="1" applyAlignment="1">
      <alignment horizontal="left" vertical="center"/>
    </xf>
    <xf numFmtId="0" fontId="5" fillId="12" borderId="0" xfId="0" applyFont="1" applyFill="1" applyBorder="1" applyAlignment="1"/>
    <xf numFmtId="0" fontId="0" fillId="12" borderId="0" xfId="0" applyFill="1" applyBorder="1"/>
    <xf numFmtId="49" fontId="25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Fill="1" applyBorder="1" applyAlignment="1" applyProtection="1">
      <alignment horizontal="center"/>
      <protection locked="0"/>
    </xf>
    <xf numFmtId="0" fontId="16" fillId="12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protection locked="0"/>
    </xf>
    <xf numFmtId="0" fontId="18" fillId="12" borderId="0" xfId="0" applyFont="1" applyFill="1" applyBorder="1" applyAlignment="1" applyProtection="1">
      <alignment horizontal="center" vertical="center"/>
    </xf>
    <xf numFmtId="0" fontId="25" fillId="12" borderId="0" xfId="0" applyFont="1" applyFill="1" applyBorder="1" applyAlignment="1" applyProtection="1">
      <alignment horizontal="center" vertical="center" wrapText="1"/>
    </xf>
    <xf numFmtId="0" fontId="4" fillId="12" borderId="0" xfId="0" applyFont="1" applyFill="1" applyBorder="1" applyAlignment="1">
      <alignment wrapText="1"/>
    </xf>
    <xf numFmtId="0" fontId="18" fillId="12" borderId="0" xfId="0" applyFont="1" applyFill="1" applyBorder="1" applyAlignment="1">
      <alignment horizontal="left" vertical="center"/>
    </xf>
    <xf numFmtId="0" fontId="68" fillId="12" borderId="0" xfId="0" applyFont="1" applyFill="1" applyBorder="1" applyAlignment="1" applyProtection="1">
      <alignment vertical="center"/>
    </xf>
    <xf numFmtId="0" fontId="69" fillId="12" borderId="0" xfId="0" applyFont="1" applyFill="1" applyAlignment="1" applyProtection="1"/>
    <xf numFmtId="0" fontId="33" fillId="12" borderId="0" xfId="0" applyFont="1" applyFill="1" applyBorder="1" applyAlignment="1" applyProtection="1">
      <alignment vertical="center" wrapText="1"/>
    </xf>
    <xf numFmtId="0" fontId="34" fillId="12" borderId="0" xfId="0" applyFont="1" applyFill="1" applyBorder="1" applyAlignment="1">
      <alignment wrapText="1"/>
    </xf>
    <xf numFmtId="0" fontId="16" fillId="12" borderId="0" xfId="0" applyFont="1" applyFill="1" applyBorder="1" applyAlignment="1" applyProtection="1">
      <alignment horizontal="left" vertical="center" wrapText="1"/>
    </xf>
    <xf numFmtId="0" fontId="5" fillId="12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wrapText="1"/>
    </xf>
    <xf numFmtId="22" fontId="65" fillId="12" borderId="0" xfId="0" applyNumberFormat="1" applyFont="1" applyFill="1" applyBorder="1" applyAlignment="1" applyProtection="1">
      <alignment horizontal="center" vertical="center"/>
    </xf>
    <xf numFmtId="0" fontId="65" fillId="12" borderId="0" xfId="0" applyFont="1" applyFill="1" applyBorder="1" applyAlignment="1">
      <alignment horizontal="center" vertical="center"/>
    </xf>
    <xf numFmtId="0" fontId="78" fillId="12" borderId="0" xfId="0" applyFont="1" applyFill="1" applyBorder="1" applyAlignment="1" applyProtection="1">
      <alignment vertical="center" wrapText="1"/>
    </xf>
    <xf numFmtId="0" fontId="80" fillId="12" borderId="0" xfId="0" applyFont="1" applyFill="1" applyBorder="1" applyAlignment="1">
      <alignment wrapText="1"/>
    </xf>
    <xf numFmtId="0" fontId="81" fillId="12" borderId="0" xfId="0" applyFont="1" applyFill="1" applyBorder="1" applyAlignment="1" applyProtection="1">
      <alignment horizontal="left" vertical="center" wrapText="1"/>
    </xf>
    <xf numFmtId="0" fontId="82" fillId="12" borderId="0" xfId="0" applyFont="1" applyFill="1" applyBorder="1" applyAlignment="1"/>
    <xf numFmtId="0" fontId="83" fillId="12" borderId="0" xfId="0" applyFont="1" applyFill="1" applyBorder="1" applyAlignment="1"/>
    <xf numFmtId="0" fontId="5" fillId="12" borderId="0" xfId="0" applyFont="1" applyFill="1" applyBorder="1" applyAlignment="1">
      <alignment horizontal="left"/>
    </xf>
    <xf numFmtId="0" fontId="0" fillId="0" borderId="0" xfId="0" applyAlignment="1"/>
    <xf numFmtId="0" fontId="18" fillId="9" borderId="59" xfId="0" applyFont="1" applyFill="1" applyBorder="1" applyAlignment="1" applyProtection="1">
      <alignment horizontal="left" vertical="center"/>
      <protection hidden="1"/>
    </xf>
    <xf numFmtId="0" fontId="18" fillId="9" borderId="59" xfId="0" applyFont="1" applyFill="1" applyBorder="1" applyAlignment="1">
      <alignment vertical="center"/>
    </xf>
    <xf numFmtId="0" fontId="18" fillId="13" borderId="59" xfId="0" applyFont="1" applyFill="1" applyBorder="1" applyAlignment="1" applyProtection="1">
      <alignment horizontal="left" vertical="center" wrapText="1"/>
      <protection hidden="1"/>
    </xf>
    <xf numFmtId="0" fontId="5" fillId="13" borderId="59" xfId="0" applyFont="1" applyFill="1" applyBorder="1" applyAlignment="1" applyProtection="1">
      <alignment horizontal="left"/>
    </xf>
    <xf numFmtId="0" fontId="25" fillId="13" borderId="6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18" fillId="13" borderId="66" xfId="0" applyFont="1" applyFill="1" applyBorder="1" applyAlignment="1" applyProtection="1">
      <alignment horizontal="left" vertical="center"/>
    </xf>
    <xf numFmtId="0" fontId="5" fillId="0" borderId="66" xfId="0" applyFont="1" applyBorder="1" applyAlignment="1"/>
    <xf numFmtId="0" fontId="5" fillId="0" borderId="65" xfId="0" applyFont="1" applyBorder="1" applyAlignment="1"/>
    <xf numFmtId="0" fontId="18" fillId="13" borderId="60" xfId="0" applyFont="1" applyFill="1" applyBorder="1" applyAlignment="1" applyProtection="1">
      <alignment horizontal="center" vertical="center"/>
    </xf>
    <xf numFmtId="0" fontId="5" fillId="0" borderId="62" xfId="0" applyFont="1" applyBorder="1" applyAlignment="1"/>
    <xf numFmtId="0" fontId="5" fillId="0" borderId="61" xfId="0" applyFont="1" applyBorder="1" applyAlignment="1"/>
    <xf numFmtId="0" fontId="48" fillId="12" borderId="0" xfId="0" applyFont="1" applyFill="1" applyBorder="1" applyAlignment="1" applyProtection="1">
      <alignment horizontal="left" wrapText="1"/>
      <protection hidden="1"/>
    </xf>
    <xf numFmtId="0" fontId="50" fillId="0" borderId="0" xfId="0" applyFont="1" applyFill="1" applyBorder="1" applyAlignment="1" applyProtection="1">
      <alignment horizontal="right"/>
      <protection hidden="1"/>
    </xf>
    <xf numFmtId="0" fontId="47" fillId="0" borderId="0" xfId="0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right"/>
      <protection hidden="1"/>
    </xf>
    <xf numFmtId="0" fontId="48" fillId="0" borderId="0" xfId="0" applyFont="1" applyFill="1" applyBorder="1" applyAlignment="1" applyProtection="1">
      <alignment horizontal="left" wrapText="1"/>
      <protection hidden="1"/>
    </xf>
    <xf numFmtId="0" fontId="49" fillId="0" borderId="0" xfId="0" applyFont="1" applyFill="1" applyBorder="1" applyAlignment="1" applyProtection="1">
      <alignment horizontal="left"/>
      <protection hidden="1"/>
    </xf>
    <xf numFmtId="0" fontId="18" fillId="9" borderId="59" xfId="0" applyFont="1" applyFill="1" applyBorder="1" applyAlignment="1" applyProtection="1">
      <alignment horizontal="left" vertical="center"/>
    </xf>
    <xf numFmtId="0" fontId="18" fillId="9" borderId="59" xfId="0" applyFont="1" applyFill="1" applyBorder="1" applyAlignment="1">
      <alignment horizontal="left" vertical="center"/>
    </xf>
    <xf numFmtId="0" fontId="25" fillId="10" borderId="59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>
      <alignment horizontal="left"/>
    </xf>
    <xf numFmtId="49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 wrapText="1"/>
    </xf>
    <xf numFmtId="0" fontId="18" fillId="12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Fill="1" applyBorder="1" applyAlignment="1" applyProtection="1">
      <alignment horizontal="center" wrapText="1"/>
      <protection hidden="1"/>
    </xf>
    <xf numFmtId="0" fontId="53" fillId="9" borderId="60" xfId="0" applyFont="1" applyFill="1" applyBorder="1" applyAlignment="1" applyProtection="1">
      <alignment vertical="center" wrapText="1"/>
    </xf>
    <xf numFmtId="0" fontId="34" fillId="9" borderId="62" xfId="0" applyFont="1" applyFill="1" applyBorder="1" applyAlignment="1">
      <alignment wrapText="1"/>
    </xf>
    <xf numFmtId="0" fontId="34" fillId="9" borderId="61" xfId="0" applyFont="1" applyFill="1" applyBorder="1" applyAlignment="1">
      <alignment wrapText="1"/>
    </xf>
    <xf numFmtId="0" fontId="25" fillId="10" borderId="59" xfId="0" applyFont="1" applyFill="1" applyBorder="1" applyAlignment="1" applyProtection="1">
      <alignment horizontal="center"/>
      <protection locked="0"/>
    </xf>
    <xf numFmtId="0" fontId="18" fillId="9" borderId="59" xfId="0" applyFont="1" applyFill="1" applyBorder="1" applyAlignment="1">
      <alignment horizontal="left"/>
    </xf>
    <xf numFmtId="49" fontId="25" fillId="10" borderId="60" xfId="0" applyNumberFormat="1" applyFont="1" applyFill="1" applyBorder="1" applyAlignment="1" applyProtection="1">
      <alignment horizontal="center" vertical="center" wrapText="1"/>
      <protection locked="0"/>
    </xf>
    <xf numFmtId="49" fontId="25" fillId="10" borderId="62" xfId="0" applyNumberFormat="1" applyFont="1" applyFill="1" applyBorder="1" applyAlignment="1" applyProtection="1">
      <alignment horizontal="center" vertical="center" wrapText="1"/>
      <protection locked="0"/>
    </xf>
    <xf numFmtId="49" fontId="25" fillId="10" borderId="61" xfId="0" applyNumberFormat="1" applyFont="1" applyFill="1" applyBorder="1" applyAlignment="1" applyProtection="1">
      <alignment horizontal="center" vertical="center"/>
      <protection locked="0"/>
    </xf>
    <xf numFmtId="0" fontId="18" fillId="9" borderId="59" xfId="0" applyFont="1" applyFill="1" applyBorder="1" applyAlignment="1" applyProtection="1">
      <alignment horizontal="left" vertical="center" wrapText="1"/>
    </xf>
    <xf numFmtId="0" fontId="18" fillId="9" borderId="59" xfId="0" applyFont="1" applyFill="1" applyBorder="1" applyAlignment="1">
      <alignment horizontal="left" vertical="center" wrapText="1"/>
    </xf>
    <xf numFmtId="0" fontId="25" fillId="10" borderId="59" xfId="0" applyFont="1" applyFill="1" applyBorder="1" applyAlignment="1" applyProtection="1">
      <alignment horizontal="center" vertical="center" wrapText="1"/>
      <protection locked="0"/>
    </xf>
    <xf numFmtId="22" fontId="65" fillId="13" borderId="62" xfId="0" applyNumberFormat="1" applyFont="1" applyFill="1" applyBorder="1" applyAlignment="1" applyProtection="1">
      <alignment horizontal="center" vertical="center"/>
    </xf>
    <xf numFmtId="0" fontId="65" fillId="13" borderId="62" xfId="0" applyFont="1" applyFill="1" applyBorder="1" applyAlignment="1">
      <alignment horizontal="center" vertical="center"/>
    </xf>
    <xf numFmtId="0" fontId="65" fillId="13" borderId="61" xfId="0" applyFont="1" applyFill="1" applyBorder="1" applyAlignment="1">
      <alignment horizontal="center" vertical="center"/>
    </xf>
    <xf numFmtId="0" fontId="18" fillId="11" borderId="60" xfId="0" applyFont="1" applyFill="1" applyBorder="1" applyAlignment="1" applyProtection="1">
      <alignment horizontal="left" vertical="center" wrapText="1"/>
    </xf>
    <xf numFmtId="0" fontId="5" fillId="0" borderId="62" xfId="0" applyFont="1" applyBorder="1" applyAlignment="1">
      <alignment horizontal="left" wrapText="1"/>
    </xf>
    <xf numFmtId="0" fontId="1" fillId="0" borderId="62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18" fillId="13" borderId="60" xfId="0" applyFont="1" applyFill="1" applyBorder="1" applyAlignment="1">
      <alignment horizontal="left" vertical="center"/>
    </xf>
    <xf numFmtId="0" fontId="5" fillId="0" borderId="62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84" fillId="11" borderId="60" xfId="0" applyFont="1" applyFill="1" applyBorder="1" applyAlignment="1" applyProtection="1">
      <alignment horizontal="left" vertical="center" wrapText="1"/>
    </xf>
    <xf numFmtId="0" fontId="83" fillId="11" borderId="62" xfId="0" applyFont="1" applyFill="1" applyBorder="1" applyAlignment="1"/>
    <xf numFmtId="0" fontId="83" fillId="0" borderId="62" xfId="0" applyFont="1" applyBorder="1" applyAlignment="1"/>
    <xf numFmtId="0" fontId="83" fillId="0" borderId="61" xfId="0" applyFont="1" applyBorder="1" applyAlignment="1"/>
    <xf numFmtId="0" fontId="84" fillId="9" borderId="60" xfId="0" applyFont="1" applyFill="1" applyBorder="1" applyAlignment="1" applyProtection="1">
      <alignment vertical="center" wrapText="1"/>
    </xf>
    <xf numFmtId="0" fontId="80" fillId="0" borderId="62" xfId="0" applyFont="1" applyBorder="1" applyAlignment="1">
      <alignment wrapText="1"/>
    </xf>
    <xf numFmtId="0" fontId="80" fillId="0" borderId="61" xfId="0" applyFont="1" applyBorder="1" applyAlignment="1">
      <alignment wrapText="1"/>
    </xf>
    <xf numFmtId="0" fontId="18" fillId="11" borderId="60" xfId="0" applyFont="1" applyFill="1" applyBorder="1" applyAlignment="1" applyProtection="1">
      <alignment vertical="center"/>
    </xf>
    <xf numFmtId="0" fontId="18" fillId="11" borderId="62" xfId="0" applyFont="1" applyFill="1" applyBorder="1" applyAlignment="1" applyProtection="1">
      <alignment vertical="center"/>
    </xf>
    <xf numFmtId="0" fontId="18" fillId="11" borderId="61" xfId="0" applyFont="1" applyFill="1" applyBorder="1" applyAlignment="1" applyProtection="1">
      <alignment vertical="center"/>
    </xf>
    <xf numFmtId="0" fontId="79" fillId="14" borderId="65" xfId="0" applyFont="1" applyFill="1" applyBorder="1" applyAlignment="1" applyProtection="1">
      <alignment horizontal="left" vertical="center"/>
      <protection hidden="1"/>
    </xf>
    <xf numFmtId="0" fontId="79" fillId="14" borderId="63" xfId="0" applyFont="1" applyFill="1" applyBorder="1" applyAlignment="1" applyProtection="1">
      <alignment horizontal="left" vertical="center"/>
      <protection hidden="1"/>
    </xf>
    <xf numFmtId="0" fontId="79" fillId="14" borderId="63" xfId="0" applyFont="1" applyFill="1" applyBorder="1" applyAlignment="1" applyProtection="1">
      <alignment horizontal="left" vertical="center"/>
    </xf>
    <xf numFmtId="0" fontId="76" fillId="14" borderId="63" xfId="0" applyFont="1" applyFill="1" applyBorder="1" applyAlignment="1" applyProtection="1">
      <alignment horizontal="center" vertical="center"/>
      <protection hidden="1"/>
    </xf>
    <xf numFmtId="0" fontId="76" fillId="14" borderId="63" xfId="0" applyFont="1" applyFill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65" fillId="9" borderId="60" xfId="0" applyFont="1" applyFill="1" applyBorder="1" applyAlignment="1" applyProtection="1">
      <alignment horizontal="left" vertical="center" wrapText="1"/>
      <protection hidden="1"/>
    </xf>
    <xf numFmtId="0" fontId="1" fillId="0" borderId="62" xfId="0" applyFont="1" applyBorder="1"/>
    <xf numFmtId="0" fontId="1" fillId="0" borderId="61" xfId="0" applyFont="1" applyBorder="1"/>
    <xf numFmtId="0" fontId="18" fillId="9" borderId="59" xfId="0" applyFont="1" applyFill="1" applyBorder="1" applyAlignment="1" applyProtection="1">
      <alignment horizontal="left" vertical="center" wrapText="1"/>
      <protection hidden="1"/>
    </xf>
    <xf numFmtId="0" fontId="18" fillId="9" borderId="59" xfId="0" applyFont="1" applyFill="1" applyBorder="1" applyAlignment="1">
      <alignment vertical="center" wrapText="1"/>
    </xf>
    <xf numFmtId="0" fontId="65" fillId="13" borderId="63" xfId="0" applyFont="1" applyFill="1" applyBorder="1" applyAlignment="1" applyProtection="1">
      <alignment horizontal="left" vertical="center" wrapText="1"/>
      <protection hidden="1"/>
    </xf>
    <xf numFmtId="0" fontId="65" fillId="13" borderId="63" xfId="0" applyFont="1" applyFill="1" applyBorder="1" applyAlignment="1" applyProtection="1">
      <alignment vertical="center" wrapText="1"/>
    </xf>
    <xf numFmtId="49" fontId="25" fillId="10" borderId="59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59" xfId="0" applyFont="1" applyFill="1" applyBorder="1" applyAlignment="1" applyProtection="1">
      <protection locked="0"/>
    </xf>
    <xf numFmtId="164" fontId="25" fillId="10" borderId="59" xfId="0" applyNumberFormat="1" applyFont="1" applyFill="1" applyBorder="1" applyAlignment="1" applyProtection="1">
      <alignment horizontal="center" vertical="center"/>
      <protection locked="0"/>
    </xf>
    <xf numFmtId="0" fontId="25" fillId="10" borderId="59" xfId="0" applyFont="1" applyFill="1" applyBorder="1" applyAlignment="1" applyProtection="1">
      <alignment vertical="center"/>
      <protection locked="0"/>
    </xf>
    <xf numFmtId="0" fontId="25" fillId="10" borderId="60" xfId="0" applyFont="1" applyFill="1" applyBorder="1" applyAlignment="1" applyProtection="1">
      <alignment horizontal="center" vertical="center"/>
      <protection locked="0"/>
    </xf>
    <xf numFmtId="1" fontId="25" fillId="13" borderId="63" xfId="0" applyNumberFormat="1" applyFont="1" applyFill="1" applyBorder="1" applyAlignment="1" applyProtection="1">
      <alignment horizontal="center" vertical="center"/>
      <protection hidden="1"/>
    </xf>
    <xf numFmtId="0" fontId="25" fillId="13" borderId="63" xfId="0" applyFont="1" applyFill="1" applyBorder="1" applyAlignment="1" applyProtection="1">
      <alignment horizontal="center" vertical="center"/>
    </xf>
    <xf numFmtId="0" fontId="25" fillId="13" borderId="64" xfId="0" applyFont="1" applyFill="1" applyBorder="1" applyAlignment="1" applyProtection="1">
      <alignment horizontal="center" vertical="center"/>
    </xf>
    <xf numFmtId="0" fontId="72" fillId="0" borderId="0" xfId="0" applyFont="1" applyBorder="1" applyAlignment="1" applyProtection="1">
      <alignment horizontal="center" vertical="center"/>
    </xf>
    <xf numFmtId="0" fontId="73" fillId="0" borderId="0" xfId="0" applyFont="1" applyBorder="1" applyAlignment="1" applyProtection="1"/>
    <xf numFmtId="0" fontId="25" fillId="13" borderId="60" xfId="0" applyFont="1" applyFill="1" applyBorder="1" applyAlignment="1" applyProtection="1">
      <alignment horizontal="center" vertical="center" wrapText="1"/>
    </xf>
    <xf numFmtId="0" fontId="4" fillId="0" borderId="62" xfId="0" applyFont="1" applyBorder="1" applyAlignment="1">
      <alignment wrapText="1"/>
    </xf>
    <xf numFmtId="0" fontId="4" fillId="0" borderId="61" xfId="0" applyFont="1" applyBorder="1" applyAlignment="1">
      <alignment wrapText="1"/>
    </xf>
    <xf numFmtId="0" fontId="18" fillId="13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/>
    <xf numFmtId="0" fontId="5" fillId="0" borderId="69" xfId="0" applyFont="1" applyBorder="1" applyAlignment="1"/>
    <xf numFmtId="0" fontId="18" fillId="13" borderId="67" xfId="0" applyFont="1" applyFill="1" applyBorder="1" applyAlignment="1" applyProtection="1">
      <alignment horizontal="left" vertical="center"/>
    </xf>
    <xf numFmtId="0" fontId="5" fillId="0" borderId="68" xfId="0" applyFont="1" applyBorder="1" applyAlignment="1">
      <alignment horizontal="left" vertical="center"/>
    </xf>
    <xf numFmtId="0" fontId="5" fillId="0" borderId="70" xfId="0" applyFont="1" applyBorder="1" applyAlignment="1"/>
    <xf numFmtId="0" fontId="49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0" fillId="0" borderId="0" xfId="0" applyAlignment="1">
      <alignment wrapText="1"/>
    </xf>
    <xf numFmtId="0" fontId="7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31" fillId="7" borderId="45" xfId="0" applyFont="1" applyFill="1" applyBorder="1" applyAlignment="1" applyProtection="1">
      <alignment horizontal="center" vertical="center"/>
    </xf>
    <xf numFmtId="0" fontId="42" fillId="7" borderId="46" xfId="0" applyFont="1" applyFill="1" applyBorder="1" applyAlignment="1" applyProtection="1">
      <alignment horizontal="center" vertical="center"/>
    </xf>
    <xf numFmtId="0" fontId="33" fillId="7" borderId="40" xfId="0" applyFont="1" applyFill="1" applyBorder="1" applyAlignment="1" applyProtection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41" fillId="7" borderId="47" xfId="0" applyFont="1" applyFill="1" applyBorder="1" applyAlignment="1" applyProtection="1">
      <alignment horizontal="center" vertical="center"/>
      <protection hidden="1"/>
    </xf>
    <xf numFmtId="0" fontId="43" fillId="7" borderId="47" xfId="0" applyFont="1" applyFill="1" applyBorder="1" applyAlignment="1" applyProtection="1">
      <alignment horizontal="center" vertical="center"/>
      <protection hidden="1"/>
    </xf>
    <xf numFmtId="0" fontId="43" fillId="7" borderId="22" xfId="0" applyFont="1" applyFill="1" applyBorder="1" applyAlignment="1"/>
    <xf numFmtId="0" fontId="10" fillId="0" borderId="33" xfId="0" applyFont="1" applyBorder="1" applyAlignment="1" applyProtection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41" fillId="7" borderId="37" xfId="0" applyFont="1" applyFill="1" applyBorder="1" applyAlignment="1" applyProtection="1">
      <alignment horizontal="center" vertical="center"/>
      <protection hidden="1"/>
    </xf>
    <xf numFmtId="0" fontId="41" fillId="7" borderId="37" xfId="0" applyFont="1" applyFill="1" applyBorder="1" applyAlignment="1">
      <alignment horizontal="center" vertical="center"/>
    </xf>
    <xf numFmtId="0" fontId="43" fillId="7" borderId="24" xfId="0" applyFont="1" applyFill="1" applyBorder="1" applyAlignment="1"/>
    <xf numFmtId="0" fontId="32" fillId="7" borderId="0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>
      <alignment vertical="center"/>
    </xf>
    <xf numFmtId="0" fontId="44" fillId="7" borderId="6" xfId="0" applyFont="1" applyFill="1" applyBorder="1" applyAlignment="1"/>
    <xf numFmtId="0" fontId="37" fillId="8" borderId="39" xfId="0" applyFont="1" applyFill="1" applyBorder="1" applyAlignment="1" applyProtection="1">
      <alignment horizontal="center" vertical="center" wrapText="1"/>
      <protection hidden="1"/>
    </xf>
    <xf numFmtId="0" fontId="40" fillId="8" borderId="33" xfId="0" applyFont="1" applyFill="1" applyBorder="1" applyAlignment="1"/>
    <xf numFmtId="0" fontId="39" fillId="8" borderId="48" xfId="0" applyFont="1" applyFill="1" applyBorder="1" applyAlignment="1"/>
    <xf numFmtId="0" fontId="25" fillId="2" borderId="49" xfId="0" applyFont="1" applyFill="1" applyBorder="1" applyAlignment="1" applyProtection="1">
      <alignment horizontal="center" vertical="center" wrapText="1"/>
      <protection hidden="1"/>
    </xf>
    <xf numFmtId="0" fontId="23" fillId="2" borderId="50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5" xfId="0" applyFont="1" applyFill="1" applyBorder="1" applyAlignment="1" applyProtection="1">
      <protection hidden="1"/>
    </xf>
    <xf numFmtId="0" fontId="25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51" xfId="0" applyBorder="1" applyAlignment="1"/>
    <xf numFmtId="0" fontId="0" fillId="0" borderId="52" xfId="0" applyBorder="1" applyAlignment="1"/>
    <xf numFmtId="0" fontId="11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/>
    <xf numFmtId="0" fontId="24" fillId="4" borderId="52" xfId="0" applyFont="1" applyFill="1" applyBorder="1" applyAlignment="1" applyProtection="1">
      <alignment horizontal="center" vertical="center" wrapText="1"/>
      <protection hidden="1"/>
    </xf>
    <xf numFmtId="0" fontId="20" fillId="4" borderId="23" xfId="0" applyFont="1" applyFill="1" applyBorder="1" applyAlignment="1">
      <alignment horizontal="center" vertical="center"/>
    </xf>
    <xf numFmtId="0" fontId="25" fillId="5" borderId="1" xfId="0" applyFont="1" applyFill="1" applyBorder="1" applyAlignment="1" applyProtection="1">
      <alignment horizontal="right" vertical="center"/>
      <protection hidden="1"/>
    </xf>
    <xf numFmtId="0" fontId="0" fillId="0" borderId="14" xfId="0" applyBorder="1" applyAlignment="1">
      <alignment horizontal="right"/>
    </xf>
    <xf numFmtId="1" fontId="18" fillId="5" borderId="48" xfId="0" applyNumberFormat="1" applyFont="1" applyFill="1" applyBorder="1" applyAlignment="1" applyProtection="1">
      <alignment horizontal="center" vertical="center"/>
      <protection hidden="1"/>
    </xf>
    <xf numFmtId="0" fontId="0" fillId="0" borderId="53" xfId="0" applyBorder="1" applyAlignment="1"/>
    <xf numFmtId="0" fontId="37" fillId="5" borderId="1" xfId="0" applyFont="1" applyFill="1" applyBorder="1" applyAlignment="1" applyProtection="1">
      <alignment horizontal="left" vertical="center"/>
      <protection hidden="1"/>
    </xf>
    <xf numFmtId="0" fontId="39" fillId="0" borderId="37" xfId="0" applyFont="1" applyBorder="1" applyAlignment="1">
      <alignment horizontal="left"/>
    </xf>
    <xf numFmtId="0" fontId="39" fillId="0" borderId="24" xfId="0" applyFont="1" applyBorder="1" applyAlignment="1">
      <alignment horizontal="left"/>
    </xf>
    <xf numFmtId="0" fontId="10" fillId="0" borderId="14" xfId="0" applyFont="1" applyBorder="1" applyAlignment="1" applyProtection="1">
      <alignment horizontal="left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31" fillId="7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5" fillId="2" borderId="54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38" xfId="0" applyBorder="1" applyAlignment="1"/>
    <xf numFmtId="0" fontId="0" fillId="0" borderId="4" xfId="0" applyBorder="1" applyAlignment="1"/>
    <xf numFmtId="0" fontId="8" fillId="3" borderId="5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4" borderId="43" xfId="0" applyFont="1" applyFill="1" applyBorder="1" applyAlignment="1">
      <alignment vertical="center"/>
    </xf>
    <xf numFmtId="0" fontId="7" fillId="4" borderId="43" xfId="0" applyFont="1" applyFill="1" applyBorder="1" applyAlignment="1">
      <alignment vertical="center"/>
    </xf>
    <xf numFmtId="0" fontId="7" fillId="4" borderId="44" xfId="0" applyFont="1" applyFill="1" applyBorder="1" applyAlignment="1">
      <alignment vertical="center"/>
    </xf>
    <xf numFmtId="0" fontId="31" fillId="7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/>
    <xf numFmtId="0" fontId="8" fillId="3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4" borderId="58" xfId="0" applyFont="1" applyFill="1" applyBorder="1" applyAlignment="1">
      <alignment vertical="center"/>
    </xf>
    <xf numFmtId="0" fontId="7" fillId="0" borderId="58" xfId="0" applyFont="1" applyBorder="1" applyAlignment="1"/>
    <xf numFmtId="0" fontId="7" fillId="0" borderId="21" xfId="0" applyFont="1" applyBorder="1" applyAlignment="1"/>
    <xf numFmtId="0" fontId="31" fillId="7" borderId="51" xfId="0" applyFont="1" applyFill="1" applyBorder="1" applyAlignment="1">
      <alignment horizontal="center" vertical="center"/>
    </xf>
    <xf numFmtId="0" fontId="31" fillId="7" borderId="52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0" fillId="3" borderId="22" xfId="0" applyFill="1" applyBorder="1" applyAlignment="1"/>
    <xf numFmtId="0" fontId="8" fillId="2" borderId="29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9"/>
      </font>
      <fill>
        <patternFill patternType="solid">
          <bgColor indexed="9"/>
        </patternFill>
      </fill>
      <border>
        <bottom style="thin">
          <color indexed="9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8" tint="0.59996337778862885"/>
        </patternFill>
      </fill>
    </dxf>
    <dxf>
      <fill>
        <patternFill>
          <bgColor indexed="10"/>
        </patternFill>
      </fill>
    </dxf>
    <dxf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ill>
        <patternFill>
          <fgColor theme="8" tint="0.59996337778862885"/>
          <bgColor theme="8" tint="0.59996337778862885"/>
        </patternFill>
      </fill>
    </dxf>
    <dxf>
      <font>
        <b val="0"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CDE8EF"/>
      <color rgb="FFCDF0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3" Type="http://schemas.openxmlformats.org/officeDocument/2006/relationships/image" Target="../media/image3.jpeg"/><Relationship Id="rId7" Type="http://schemas.openxmlformats.org/officeDocument/2006/relationships/hyperlink" Target="https://www.antimicrobialcompanion.scot/nhs-lothian/" TargetMode="External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://intranet.lothian.scot.nhs.uk/Directory/AMT/Pages/Vancomycin.aspx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10887</xdr:colOff>
      <xdr:row>20</xdr:row>
      <xdr:rowOff>413656</xdr:rowOff>
    </xdr:from>
    <xdr:to>
      <xdr:col>20</xdr:col>
      <xdr:colOff>360589</xdr:colOff>
      <xdr:row>31</xdr:row>
      <xdr:rowOff>79821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E4544B-C5FF-120C-DE14-4BDADFD1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58" y="10733313"/>
          <a:ext cx="11168742" cy="4640937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544286</xdr:colOff>
      <xdr:row>31</xdr:row>
      <xdr:rowOff>152400</xdr:rowOff>
    </xdr:from>
    <xdr:to>
      <xdr:col>21</xdr:col>
      <xdr:colOff>246561</xdr:colOff>
      <xdr:row>44</xdr:row>
      <xdr:rowOff>284374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DA3FCD-37D8-F772-23CA-C0501C7B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6772" y="15446829"/>
          <a:ext cx="6019799" cy="3981706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0</xdr:row>
      <xdr:rowOff>241300</xdr:rowOff>
    </xdr:from>
    <xdr:to>
      <xdr:col>22</xdr:col>
      <xdr:colOff>393438</xdr:colOff>
      <xdr:row>4</xdr:row>
      <xdr:rowOff>114300</xdr:rowOff>
    </xdr:to>
    <xdr:pic>
      <xdr:nvPicPr>
        <xdr:cNvPr id="4" name="Picture 3" descr="NHS_LO_cmyk[1]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69601" y="241300"/>
          <a:ext cx="1479922" cy="100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1347107</xdr:colOff>
      <xdr:row>6</xdr:row>
      <xdr:rowOff>95250</xdr:rowOff>
    </xdr:from>
    <xdr:to>
      <xdr:col>33</xdr:col>
      <xdr:colOff>381000</xdr:colOff>
      <xdr:row>20</xdr:row>
      <xdr:rowOff>13607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0CB7D8E-CA70-4110-9844-3059F867FC3F}"/>
            </a:ext>
          </a:extLst>
        </xdr:cNvPr>
        <xdr:cNvSpPr txBox="1"/>
      </xdr:nvSpPr>
      <xdr:spPr>
        <a:xfrm>
          <a:off x="15757071" y="2163536"/>
          <a:ext cx="3197679" cy="8232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23</xdr:col>
      <xdr:colOff>204107</xdr:colOff>
      <xdr:row>3</xdr:row>
      <xdr:rowOff>1</xdr:rowOff>
    </xdr:from>
    <xdr:to>
      <xdr:col>44</xdr:col>
      <xdr:colOff>436794</xdr:colOff>
      <xdr:row>5</xdr:row>
      <xdr:rowOff>231322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D5FDA8E-7C98-43FB-BF86-BA723149B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22036" y="898072"/>
          <a:ext cx="11938639" cy="789214"/>
        </a:xfrm>
        <a:prstGeom prst="rect">
          <a:avLst/>
        </a:prstGeom>
      </xdr:spPr>
    </xdr:pic>
    <xdr:clientData/>
  </xdr:twoCellAnchor>
  <xdr:twoCellAnchor editAs="oneCell">
    <xdr:from>
      <xdr:col>24</xdr:col>
      <xdr:colOff>236764</xdr:colOff>
      <xdr:row>29</xdr:row>
      <xdr:rowOff>296637</xdr:rowOff>
    </xdr:from>
    <xdr:to>
      <xdr:col>43</xdr:col>
      <xdr:colOff>477881</xdr:colOff>
      <xdr:row>44</xdr:row>
      <xdr:rowOff>65043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E2EB5F-0EDA-48EF-A52C-9CC2736C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930993" y="14829066"/>
          <a:ext cx="11032670" cy="4389663"/>
        </a:xfrm>
        <a:prstGeom prst="rect">
          <a:avLst/>
        </a:prstGeom>
      </xdr:spPr>
    </xdr:pic>
    <xdr:clientData/>
  </xdr:twoCellAnchor>
  <xdr:twoCellAnchor editAs="oneCell">
    <xdr:from>
      <xdr:col>23</xdr:col>
      <xdr:colOff>163285</xdr:colOff>
      <xdr:row>0</xdr:row>
      <xdr:rowOff>299357</xdr:rowOff>
    </xdr:from>
    <xdr:to>
      <xdr:col>44</xdr:col>
      <xdr:colOff>513260</xdr:colOff>
      <xdr:row>3</xdr:row>
      <xdr:rowOff>58239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C388A2C-1908-4E04-A1AD-58A6A7DB1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81214" y="299357"/>
          <a:ext cx="12055927" cy="653143"/>
        </a:xfrm>
        <a:prstGeom prst="rect">
          <a:avLst/>
        </a:prstGeom>
      </xdr:spPr>
    </xdr:pic>
    <xdr:clientData/>
  </xdr:twoCellAnchor>
  <xdr:twoCellAnchor>
    <xdr:from>
      <xdr:col>1</xdr:col>
      <xdr:colOff>6164</xdr:colOff>
      <xdr:row>43</xdr:row>
      <xdr:rowOff>122464</xdr:rowOff>
    </xdr:from>
    <xdr:to>
      <xdr:col>9</xdr:col>
      <xdr:colOff>479815</xdr:colOff>
      <xdr:row>44</xdr:row>
      <xdr:rowOff>231321</xdr:rowOff>
    </xdr:to>
    <xdr:sp macro="" textlink="">
      <xdr:nvSpPr>
        <xdr:cNvPr id="25" name="Round Diagonal Corner Rectangle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83057" y="18981964"/>
          <a:ext cx="5372222" cy="408214"/>
        </a:xfrm>
        <a:prstGeom prst="round2Diag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600" b="0"/>
            <a:t>CLICK HERE FOR</a:t>
          </a:r>
          <a:r>
            <a:rPr lang="en-GB" sz="1600" b="0" baseline="0"/>
            <a:t> ANTIMICROBIAL GUIDELINES</a:t>
          </a:r>
          <a:endParaRPr lang="en-GB" sz="1600" b="0"/>
        </a:p>
      </xdr:txBody>
    </xdr:sp>
    <xdr:clientData/>
  </xdr:twoCellAnchor>
  <xdr:twoCellAnchor editAs="oneCell">
    <xdr:from>
      <xdr:col>23</xdr:col>
      <xdr:colOff>283028</xdr:colOff>
      <xdr:row>5</xdr:row>
      <xdr:rowOff>206827</xdr:rowOff>
    </xdr:from>
    <xdr:to>
      <xdr:col>44</xdr:col>
      <xdr:colOff>354057</xdr:colOff>
      <xdr:row>20</xdr:row>
      <xdr:rowOff>142653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BEBFC7-2E8D-A3E5-1C6F-859EE919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432971" y="1632856"/>
          <a:ext cx="12072257" cy="8835169"/>
        </a:xfrm>
        <a:prstGeom prst="rect">
          <a:avLst/>
        </a:prstGeom>
      </xdr:spPr>
    </xdr:pic>
    <xdr:clientData/>
  </xdr:twoCellAnchor>
  <xdr:twoCellAnchor editAs="oneCell">
    <xdr:from>
      <xdr:col>37</xdr:col>
      <xdr:colOff>267106</xdr:colOff>
      <xdr:row>14</xdr:row>
      <xdr:rowOff>92528</xdr:rowOff>
    </xdr:from>
    <xdr:to>
      <xdr:col>44</xdr:col>
      <xdr:colOff>320584</xdr:colOff>
      <xdr:row>29</xdr:row>
      <xdr:rowOff>179343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A97C227-2971-443B-A581-4018E6BA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526906" y="6896099"/>
          <a:ext cx="3942944" cy="7821388"/>
        </a:xfrm>
        <a:prstGeom prst="rect">
          <a:avLst/>
        </a:prstGeom>
      </xdr:spPr>
    </xdr:pic>
    <xdr:clientData/>
  </xdr:twoCellAnchor>
  <xdr:twoCellAnchor editAs="oneCell">
    <xdr:from>
      <xdr:col>23</xdr:col>
      <xdr:colOff>337458</xdr:colOff>
      <xdr:row>20</xdr:row>
      <xdr:rowOff>108857</xdr:rowOff>
    </xdr:from>
    <xdr:to>
      <xdr:col>37</xdr:col>
      <xdr:colOff>210639</xdr:colOff>
      <xdr:row>29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4F899F-BD2F-AD9C-BF2E-5443A135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487401" y="10428514"/>
          <a:ext cx="7979228" cy="4256315"/>
        </a:xfrm>
        <a:prstGeom prst="rect">
          <a:avLst/>
        </a:prstGeom>
      </xdr:spPr>
    </xdr:pic>
    <xdr:clientData/>
  </xdr:twoCellAnchor>
  <xdr:twoCellAnchor editAs="oneCell">
    <xdr:from>
      <xdr:col>18</xdr:col>
      <xdr:colOff>482367</xdr:colOff>
      <xdr:row>30</xdr:row>
      <xdr:rowOff>125680</xdr:rowOff>
    </xdr:from>
    <xdr:to>
      <xdr:col>20</xdr:col>
      <xdr:colOff>283294</xdr:colOff>
      <xdr:row>33</xdr:row>
      <xdr:rowOff>27250</xdr:rowOff>
    </xdr:to>
    <xdr:pic>
      <xdr:nvPicPr>
        <xdr:cNvPr id="5127" name="Picture 7" descr="C:\Users\Morgan.Evans\AppData\Local\Microsoft\Windows\Temporary Internet Files\Content.IE5\O7K1XTFZ\click-978023_640[1]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53681" y="15039109"/>
          <a:ext cx="817109" cy="8107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9</xdr:col>
      <xdr:colOff>479992</xdr:colOff>
      <xdr:row>43</xdr:row>
      <xdr:rowOff>96634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765D12-D0C3-9509-0088-13CF92D3F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4171" y="15544800"/>
          <a:ext cx="5502117" cy="3398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nda.M.Robertson@luht.scot.nhs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DR148"/>
  <sheetViews>
    <sheetView tabSelected="1" view="pageBreakPreview" zoomScale="70" zoomScaleNormal="70" zoomScaleSheetLayoutView="70" workbookViewId="0">
      <selection activeCell="F8" sqref="F8:J8"/>
    </sheetView>
  </sheetViews>
  <sheetFormatPr defaultColWidth="9.140625" defaultRowHeight="25.5" zeroHeight="1" x14ac:dyDescent="0.35"/>
  <cols>
    <col min="1" max="1" width="2.5703125" style="242" customWidth="1"/>
    <col min="2" max="4" width="7.85546875" style="219" customWidth="1"/>
    <col min="5" max="5" width="23.5703125" style="219" customWidth="1"/>
    <col min="6" max="6" width="7.85546875" style="219" customWidth="1"/>
    <col min="7" max="7" width="5.7109375" style="219" customWidth="1"/>
    <col min="8" max="8" width="6.42578125" style="219" customWidth="1"/>
    <col min="9" max="9" width="5.7109375" style="219" customWidth="1"/>
    <col min="10" max="10" width="11" style="219" customWidth="1"/>
    <col min="11" max="11" width="1.85546875" style="219" customWidth="1"/>
    <col min="12" max="12" width="7.85546875" style="219" customWidth="1"/>
    <col min="13" max="17" width="8.140625" style="242" customWidth="1"/>
    <col min="18" max="18" width="8.28515625" style="242" customWidth="1"/>
    <col min="19" max="19" width="9.85546875" style="242" customWidth="1"/>
    <col min="20" max="20" width="4.85546875" style="242" customWidth="1"/>
    <col min="21" max="21" width="7.5703125" style="242" customWidth="1"/>
    <col min="22" max="22" width="9.85546875" style="242" customWidth="1"/>
    <col min="23" max="23" width="8.85546875" style="242" customWidth="1"/>
    <col min="24" max="26" width="7.85546875" style="353" customWidth="1"/>
    <col min="27" max="27" width="23.5703125" style="353" customWidth="1"/>
    <col min="28" max="28" width="7.85546875" style="353" customWidth="1"/>
    <col min="29" max="29" width="5.7109375" style="353" customWidth="1"/>
    <col min="30" max="30" width="6.42578125" style="353" customWidth="1"/>
    <col min="31" max="31" width="5.7109375" style="353" customWidth="1"/>
    <col min="32" max="32" width="11" style="353" customWidth="1"/>
    <col min="33" max="33" width="1.85546875" style="353" customWidth="1"/>
    <col min="34" max="34" width="7.85546875" style="353" customWidth="1"/>
    <col min="35" max="39" width="8.140625" style="242" customWidth="1"/>
    <col min="40" max="40" width="8.28515625" style="242" customWidth="1"/>
    <col min="41" max="41" width="9.85546875" style="242" customWidth="1"/>
    <col min="42" max="42" width="4.85546875" style="242" customWidth="1"/>
    <col min="43" max="43" width="7.5703125" style="242" customWidth="1"/>
    <col min="44" max="44" width="9.85546875" style="242" customWidth="1"/>
    <col min="45" max="45" width="8.85546875" style="242" customWidth="1"/>
    <col min="46" max="46" width="2.7109375" style="242" hidden="1" customWidth="1"/>
    <col min="47" max="47" width="11.28515625" style="55" hidden="1" customWidth="1"/>
    <col min="48" max="49" width="13.5703125" style="55" hidden="1" customWidth="1"/>
    <col min="50" max="50" width="12" style="83" hidden="1" customWidth="1"/>
    <col min="51" max="51" width="14.85546875" style="83" hidden="1" customWidth="1"/>
    <col min="52" max="52" width="16.28515625" style="83" hidden="1" customWidth="1"/>
    <col min="53" max="53" width="14.140625" style="83" hidden="1" customWidth="1"/>
    <col min="54" max="54" width="24.42578125" style="83" hidden="1" customWidth="1"/>
    <col min="55" max="55" width="12.85546875" style="83" hidden="1" customWidth="1"/>
    <col min="56" max="56" width="15.85546875" style="55" hidden="1" customWidth="1"/>
    <col min="57" max="67" width="9.140625" style="55" hidden="1" customWidth="1"/>
    <col min="68" max="68" width="10.7109375" style="55" hidden="1" customWidth="1"/>
    <col min="69" max="72" width="9.140625" style="55" hidden="1" customWidth="1"/>
    <col min="73" max="73" width="39.7109375" style="55" hidden="1" customWidth="1"/>
    <col min="74" max="74" width="40.140625" style="55" hidden="1" customWidth="1"/>
    <col min="75" max="75" width="39.7109375" style="55" hidden="1" customWidth="1"/>
    <col min="76" max="76" width="16.5703125" style="55" hidden="1" customWidth="1"/>
    <col min="77" max="78" width="11.140625" style="55" hidden="1" customWidth="1"/>
    <col min="79" max="79" width="11.140625" style="123" customWidth="1"/>
    <col min="80" max="80" width="11.42578125" style="123" customWidth="1"/>
    <col min="81" max="86" width="27" style="123" customWidth="1"/>
    <col min="87" max="87" width="29.85546875" style="123" customWidth="1"/>
    <col min="88" max="91" width="29.85546875" style="118" customWidth="1"/>
    <col min="92" max="122" width="9.140625" style="118" customWidth="1"/>
    <col min="123" max="126" width="9.140625" style="55" customWidth="1"/>
    <col min="127" max="16384" width="9.140625" style="55"/>
  </cols>
  <sheetData>
    <row r="1" spans="1:87" s="229" customFormat="1" ht="41.25" customHeight="1" x14ac:dyDescent="0.45">
      <c r="A1" s="228"/>
      <c r="B1" s="416" t="s">
        <v>114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365"/>
      <c r="V1" s="365"/>
      <c r="W1" s="365"/>
      <c r="X1" s="416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7"/>
      <c r="AP1" s="417"/>
      <c r="AQ1" s="417"/>
      <c r="AR1" s="417"/>
      <c r="AS1" s="417"/>
      <c r="AT1" s="417"/>
      <c r="AU1" s="294"/>
      <c r="AW1" s="230"/>
      <c r="AZ1" s="231"/>
      <c r="BA1" s="231"/>
      <c r="BB1" s="231"/>
      <c r="BC1" s="231"/>
      <c r="BF1" s="232"/>
      <c r="BG1" s="232"/>
      <c r="BP1" s="231"/>
      <c r="BQ1" s="231"/>
      <c r="BR1" s="231"/>
    </row>
    <row r="2" spans="1:87" s="215" customFormat="1" ht="8.25" customHeight="1" x14ac:dyDescent="0.25">
      <c r="A2" s="242"/>
      <c r="B2" s="295"/>
      <c r="C2" s="295"/>
      <c r="D2" s="295"/>
      <c r="E2" s="295"/>
      <c r="F2" s="295"/>
      <c r="G2" s="295"/>
      <c r="H2" s="295"/>
      <c r="X2" s="353"/>
      <c r="Y2" s="353"/>
      <c r="Z2" s="353"/>
      <c r="AA2" s="353"/>
      <c r="AB2" s="353"/>
      <c r="AC2" s="353"/>
      <c r="AD2" s="353"/>
      <c r="AW2" s="302" t="s">
        <v>0</v>
      </c>
      <c r="AX2" s="303"/>
      <c r="AZ2" s="304"/>
      <c r="BA2" s="304"/>
      <c r="BB2" s="305"/>
      <c r="BC2" s="306"/>
      <c r="BD2" s="305"/>
      <c r="BE2" s="305"/>
      <c r="BF2" s="307"/>
      <c r="BG2" s="308"/>
      <c r="BH2" s="305"/>
      <c r="BI2" s="305"/>
      <c r="BP2" s="296"/>
      <c r="BQ2" s="309" t="s">
        <v>1</v>
      </c>
      <c r="CA2" s="310"/>
      <c r="CB2" s="310"/>
      <c r="CC2" s="310"/>
      <c r="CD2" s="310"/>
      <c r="CE2" s="310"/>
      <c r="CF2" s="310"/>
      <c r="CG2" s="310"/>
      <c r="CH2" s="310"/>
      <c r="CI2" s="310"/>
    </row>
    <row r="3" spans="1:87" s="298" customFormat="1" ht="20.25" customHeight="1" x14ac:dyDescent="0.4">
      <c r="A3" s="297"/>
      <c r="B3" s="311" t="s">
        <v>115</v>
      </c>
      <c r="C3" s="312"/>
      <c r="D3" s="218"/>
      <c r="E3" s="218"/>
      <c r="F3" s="218"/>
      <c r="G3" s="218"/>
      <c r="H3" s="218"/>
      <c r="I3" s="216"/>
      <c r="J3" s="216"/>
      <c r="K3" s="216"/>
      <c r="L3" s="216"/>
      <c r="M3" s="216"/>
      <c r="N3" s="216"/>
      <c r="O3" s="216"/>
      <c r="P3" s="216"/>
      <c r="Q3" s="216"/>
      <c r="R3" s="216"/>
      <c r="X3" s="355"/>
      <c r="Y3" s="312"/>
      <c r="Z3" s="218"/>
      <c r="AA3" s="218"/>
      <c r="AB3" s="218"/>
      <c r="AC3" s="218"/>
      <c r="AD3" s="218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W3" s="313" t="s">
        <v>3</v>
      </c>
      <c r="AX3" s="314" t="s">
        <v>4</v>
      </c>
      <c r="AY3" s="315" t="s">
        <v>5</v>
      </c>
      <c r="AZ3" s="316" t="s">
        <v>133</v>
      </c>
      <c r="BA3" s="317"/>
      <c r="BB3" s="318"/>
      <c r="BC3" s="318"/>
      <c r="BD3" s="319"/>
      <c r="BE3" s="320"/>
      <c r="BF3" s="320"/>
      <c r="BG3" s="321"/>
      <c r="BH3" s="322"/>
      <c r="BI3" s="322"/>
      <c r="BJ3" s="323"/>
      <c r="BK3" s="445"/>
      <c r="BL3" s="445"/>
      <c r="BO3" s="324"/>
      <c r="BP3" s="325" t="s">
        <v>5</v>
      </c>
      <c r="BQ3" s="326" t="s">
        <v>6</v>
      </c>
      <c r="BR3" s="327" t="s">
        <v>7</v>
      </c>
      <c r="CA3" s="319"/>
      <c r="CB3" s="328"/>
      <c r="CC3" s="328"/>
      <c r="CD3" s="321"/>
      <c r="CE3" s="322"/>
      <c r="CF3" s="322"/>
      <c r="CG3" s="323"/>
      <c r="CH3" s="445"/>
      <c r="CI3" s="445"/>
    </row>
    <row r="4" spans="1:87" s="299" customFormat="1" ht="20.25" customHeight="1" x14ac:dyDescent="0.35">
      <c r="A4" s="297"/>
      <c r="B4" s="329" t="s">
        <v>163</v>
      </c>
      <c r="C4" s="312"/>
      <c r="D4" s="218"/>
      <c r="E4" s="218"/>
      <c r="F4" s="218"/>
      <c r="G4" s="218"/>
      <c r="H4" s="218"/>
      <c r="I4" s="217"/>
      <c r="J4" s="217"/>
      <c r="K4" s="217"/>
      <c r="L4" s="217"/>
      <c r="M4" s="217"/>
      <c r="N4" s="217"/>
      <c r="O4" s="217"/>
      <c r="P4" s="217"/>
      <c r="Q4" s="217"/>
      <c r="R4" s="217"/>
      <c r="X4" s="356"/>
      <c r="Y4" s="312"/>
      <c r="Z4" s="218"/>
      <c r="AA4" s="218"/>
      <c r="AB4" s="218"/>
      <c r="AC4" s="218"/>
      <c r="AD4" s="218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W4" s="330" t="s">
        <v>9</v>
      </c>
      <c r="AX4" s="331">
        <v>500</v>
      </c>
      <c r="AY4" s="332">
        <v>48</v>
      </c>
      <c r="AZ4" s="333">
        <v>250</v>
      </c>
      <c r="BA4" s="334"/>
      <c r="BB4" s="335" t="s">
        <v>109</v>
      </c>
      <c r="BC4" s="336"/>
      <c r="BD4" s="337"/>
      <c r="BE4" s="320"/>
      <c r="BF4" s="320"/>
      <c r="BG4" s="320"/>
      <c r="BH4" s="322"/>
      <c r="BI4" s="322"/>
      <c r="BJ4" s="322"/>
      <c r="BK4" s="445"/>
      <c r="BL4" s="445"/>
      <c r="BO4" s="336"/>
      <c r="BP4" s="338" t="s">
        <v>10</v>
      </c>
      <c r="BQ4" s="339" t="s">
        <v>11</v>
      </c>
      <c r="BR4" s="336"/>
      <c r="CA4" s="340"/>
      <c r="CB4" s="328"/>
      <c r="CC4" s="328"/>
      <c r="CD4" s="328"/>
      <c r="CE4" s="341"/>
      <c r="CF4" s="322"/>
      <c r="CG4" s="322"/>
      <c r="CH4" s="445"/>
      <c r="CI4" s="445"/>
    </row>
    <row r="5" spans="1:87" s="242" customFormat="1" ht="24" customHeight="1" thickBot="1" x14ac:dyDescent="0.45">
      <c r="A5" s="297"/>
      <c r="B5" s="312"/>
      <c r="C5" s="366"/>
      <c r="D5" s="218"/>
      <c r="E5" s="218"/>
      <c r="F5" s="218"/>
      <c r="G5" s="218"/>
      <c r="H5" s="218"/>
      <c r="I5" s="218"/>
      <c r="J5" s="218"/>
      <c r="K5" s="218"/>
      <c r="L5" s="218"/>
      <c r="M5" s="312"/>
      <c r="N5" s="312"/>
      <c r="O5" s="312"/>
      <c r="P5" s="312"/>
      <c r="Q5" s="312"/>
      <c r="R5" s="312"/>
      <c r="X5" s="312"/>
      <c r="Y5" s="312"/>
      <c r="Z5" s="218"/>
      <c r="AA5" s="218"/>
      <c r="AB5" s="218"/>
      <c r="AC5" s="218"/>
      <c r="AD5" s="218"/>
      <c r="AE5" s="218"/>
      <c r="AF5" s="218"/>
      <c r="AG5" s="218"/>
      <c r="AH5" s="218"/>
      <c r="AI5" s="312"/>
      <c r="AJ5" s="312"/>
      <c r="AK5" s="312"/>
      <c r="AL5" s="312"/>
      <c r="AM5" s="312"/>
      <c r="AN5" s="312"/>
      <c r="AW5" s="342" t="s">
        <v>13</v>
      </c>
      <c r="AX5" s="343">
        <v>500</v>
      </c>
      <c r="AY5" s="344">
        <v>24</v>
      </c>
      <c r="AZ5" s="345">
        <v>250</v>
      </c>
      <c r="BA5" s="334"/>
      <c r="BB5" s="346"/>
      <c r="BC5" s="347"/>
      <c r="BD5" s="319"/>
      <c r="BE5" s="320"/>
      <c r="BF5" s="320"/>
      <c r="BG5" s="320"/>
      <c r="BH5" s="320"/>
      <c r="BI5" s="320"/>
      <c r="BJ5" s="328"/>
      <c r="BK5" s="348"/>
      <c r="BL5" s="328"/>
      <c r="BO5" s="349"/>
      <c r="BP5" s="338" t="s">
        <v>13</v>
      </c>
      <c r="BQ5" s="339">
        <v>250</v>
      </c>
      <c r="BR5" s="349"/>
      <c r="CA5" s="319"/>
      <c r="CB5" s="328"/>
      <c r="CC5" s="328"/>
      <c r="CD5" s="328"/>
      <c r="CE5" s="328"/>
      <c r="CF5" s="328"/>
      <c r="CG5" s="328"/>
      <c r="CH5" s="348"/>
      <c r="CI5" s="328"/>
    </row>
    <row r="6" spans="1:87" ht="48" customHeight="1" thickTop="1" thickBot="1" x14ac:dyDescent="0.45">
      <c r="A6" s="297"/>
      <c r="B6" s="461" t="s">
        <v>145</v>
      </c>
      <c r="C6" s="462"/>
      <c r="D6" s="462"/>
      <c r="E6" s="462"/>
      <c r="F6" s="462"/>
      <c r="G6" s="462"/>
      <c r="H6" s="462"/>
      <c r="I6" s="462"/>
      <c r="J6" s="463"/>
      <c r="K6" s="287"/>
      <c r="L6" s="475" t="s">
        <v>160</v>
      </c>
      <c r="M6" s="476"/>
      <c r="N6" s="476"/>
      <c r="O6" s="476"/>
      <c r="P6" s="476"/>
      <c r="Q6" s="476"/>
      <c r="R6" s="476"/>
      <c r="S6" s="477"/>
      <c r="T6" s="478"/>
      <c r="U6" s="472">
        <f ca="1">NOW()</f>
        <v>46066.56617002315</v>
      </c>
      <c r="V6" s="473"/>
      <c r="W6" s="474"/>
      <c r="X6" s="418"/>
      <c r="Y6" s="419"/>
      <c r="Z6" s="419"/>
      <c r="AA6" s="419"/>
      <c r="AB6" s="419"/>
      <c r="AC6" s="419"/>
      <c r="AD6" s="419"/>
      <c r="AE6" s="419"/>
      <c r="AF6" s="419"/>
      <c r="AG6" s="287"/>
      <c r="AH6" s="420"/>
      <c r="AI6" s="421"/>
      <c r="AJ6" s="421"/>
      <c r="AK6" s="421"/>
      <c r="AL6" s="421"/>
      <c r="AM6" s="421"/>
      <c r="AN6" s="421"/>
      <c r="AO6" s="422"/>
      <c r="AP6" s="422"/>
      <c r="AQ6" s="423"/>
      <c r="AR6" s="424"/>
      <c r="AS6" s="424"/>
      <c r="AW6" s="125" t="s">
        <v>15</v>
      </c>
      <c r="AX6" s="130">
        <v>750</v>
      </c>
      <c r="AY6" s="127">
        <v>24</v>
      </c>
      <c r="AZ6" s="275">
        <v>250</v>
      </c>
      <c r="BA6" s="274"/>
      <c r="BB6" s="198"/>
      <c r="BC6" s="199"/>
      <c r="BD6" s="187"/>
      <c r="BE6" s="188"/>
      <c r="BF6" s="446"/>
      <c r="BG6" s="446"/>
      <c r="BH6" s="448"/>
      <c r="BI6" s="448"/>
      <c r="BJ6" s="449"/>
      <c r="BK6" s="449"/>
      <c r="BL6" s="163"/>
      <c r="BO6" s="12"/>
      <c r="BP6" s="9" t="s">
        <v>15</v>
      </c>
      <c r="BQ6" s="5">
        <v>375</v>
      </c>
      <c r="BR6" s="12"/>
      <c r="CA6" s="176"/>
      <c r="CB6" s="177"/>
      <c r="CC6" s="177"/>
      <c r="CD6" s="177"/>
      <c r="CE6" s="176"/>
      <c r="CF6" s="177"/>
      <c r="CG6" s="177"/>
      <c r="CH6" s="176"/>
      <c r="CI6" s="177"/>
    </row>
    <row r="7" spans="1:87" ht="36" customHeight="1" thickTop="1" thickBot="1" x14ac:dyDescent="0.45">
      <c r="A7" s="297"/>
      <c r="B7" s="486" t="s">
        <v>146</v>
      </c>
      <c r="C7" s="487"/>
      <c r="D7" s="487"/>
      <c r="E7" s="487"/>
      <c r="F7" s="487"/>
      <c r="G7" s="487"/>
      <c r="H7" s="487"/>
      <c r="I7" s="487"/>
      <c r="J7" s="488"/>
      <c r="K7" s="287"/>
      <c r="L7" s="482" t="s">
        <v>147</v>
      </c>
      <c r="M7" s="483"/>
      <c r="N7" s="483"/>
      <c r="O7" s="483"/>
      <c r="P7" s="483"/>
      <c r="Q7" s="483"/>
      <c r="R7" s="483"/>
      <c r="S7" s="483"/>
      <c r="T7" s="483"/>
      <c r="U7" s="484"/>
      <c r="V7" s="484"/>
      <c r="W7" s="485"/>
      <c r="X7" s="425"/>
      <c r="Y7" s="426"/>
      <c r="Z7" s="426"/>
      <c r="AA7" s="426"/>
      <c r="AB7" s="426"/>
      <c r="AC7" s="426"/>
      <c r="AD7" s="426"/>
      <c r="AE7" s="426"/>
      <c r="AF7" s="426"/>
      <c r="AG7" s="287"/>
      <c r="AH7" s="427"/>
      <c r="AI7" s="428"/>
      <c r="AJ7" s="428"/>
      <c r="AK7" s="428"/>
      <c r="AL7" s="428"/>
      <c r="AM7" s="428"/>
      <c r="AN7" s="428"/>
      <c r="AO7" s="428"/>
      <c r="AP7" s="428"/>
      <c r="AQ7" s="429"/>
      <c r="AR7" s="429"/>
      <c r="AS7" s="429"/>
      <c r="AU7" s="285" t="str">
        <f>IF(F$17="","",AV7)</f>
        <v/>
      </c>
      <c r="AV7" s="5" t="str">
        <f>IF(F$17&lt;40,"750 mg",(IF(AND(F$17&gt;=40,F$17&lt;60),"1000 mg",(IF(AND(F$17&gt;=60,F$17&lt;=90),"1500 mg","2000 mg")))))</f>
        <v>750 mg</v>
      </c>
      <c r="AW7" s="241" t="s">
        <v>17</v>
      </c>
      <c r="AX7" s="7">
        <v>500</v>
      </c>
      <c r="AY7" s="127">
        <v>12</v>
      </c>
      <c r="AZ7" s="275">
        <v>250</v>
      </c>
      <c r="BA7" s="274"/>
      <c r="BB7" s="198"/>
      <c r="BC7" s="199"/>
      <c r="BD7" s="194"/>
      <c r="BE7" s="194"/>
      <c r="BF7" s="447"/>
      <c r="BG7" s="447"/>
      <c r="BH7" s="450"/>
      <c r="BI7" s="450"/>
      <c r="BJ7" s="449"/>
      <c r="BK7" s="449"/>
      <c r="BL7" s="163"/>
      <c r="BO7" s="12"/>
      <c r="BP7" s="9" t="s">
        <v>17</v>
      </c>
      <c r="BQ7" s="5">
        <v>500</v>
      </c>
      <c r="BR7" s="12"/>
      <c r="CA7" s="176"/>
      <c r="CB7" s="177"/>
      <c r="CC7" s="177"/>
      <c r="CD7" s="177"/>
      <c r="CE7" s="176"/>
      <c r="CF7" s="177"/>
      <c r="CG7" s="177"/>
      <c r="CH7" s="177"/>
      <c r="CI7" s="177"/>
    </row>
    <row r="8" spans="1:87" ht="48" customHeight="1" thickTop="1" thickBot="1" x14ac:dyDescent="0.4">
      <c r="B8" s="451" t="s">
        <v>148</v>
      </c>
      <c r="C8" s="452"/>
      <c r="D8" s="452"/>
      <c r="E8" s="452"/>
      <c r="F8" s="453"/>
      <c r="G8" s="464"/>
      <c r="H8" s="464"/>
      <c r="I8" s="464"/>
      <c r="J8" s="464"/>
      <c r="K8" s="287"/>
      <c r="L8" s="479" t="s">
        <v>161</v>
      </c>
      <c r="M8" s="480"/>
      <c r="N8" s="480"/>
      <c r="O8" s="480"/>
      <c r="P8" s="480"/>
      <c r="Q8" s="480"/>
      <c r="R8" s="481"/>
      <c r="S8" s="436" t="str">
        <f>IF(BD17=6,AU7,"")</f>
        <v/>
      </c>
      <c r="T8" s="437"/>
      <c r="U8" s="437"/>
      <c r="V8" s="437"/>
      <c r="W8" s="438"/>
      <c r="X8" s="404"/>
      <c r="Y8" s="415"/>
      <c r="Z8" s="415"/>
      <c r="AA8" s="415"/>
      <c r="AB8" s="403"/>
      <c r="AC8" s="409"/>
      <c r="AD8" s="409"/>
      <c r="AE8" s="409"/>
      <c r="AF8" s="409"/>
      <c r="AG8" s="287"/>
      <c r="AH8" s="415"/>
      <c r="AI8" s="430"/>
      <c r="AJ8" s="430"/>
      <c r="AK8" s="430"/>
      <c r="AL8" s="430"/>
      <c r="AM8" s="430"/>
      <c r="AN8" s="430"/>
      <c r="AO8" s="399"/>
      <c r="AP8" s="400"/>
      <c r="AQ8" s="400"/>
      <c r="AR8" s="400"/>
      <c r="AS8" s="400"/>
      <c r="AU8" s="285" t="str">
        <f>IF(F$17="","",AV8)</f>
        <v/>
      </c>
      <c r="AV8" s="5" t="str">
        <f>IF(F$17&lt;40,"250 ml",(IF(AND(F$17&gt;=40,F$17&lt;60),"250 ml",(IF(AND(F$17&gt;=60,F$17&lt;=90),"500 ml","500 ml")))))</f>
        <v>250 ml</v>
      </c>
      <c r="AW8" s="241" t="s">
        <v>18</v>
      </c>
      <c r="AX8" s="7">
        <v>750</v>
      </c>
      <c r="AY8" s="128">
        <v>12</v>
      </c>
      <c r="AZ8" s="275">
        <v>250</v>
      </c>
      <c r="BA8" s="274"/>
      <c r="BB8" s="198"/>
      <c r="BC8" s="199"/>
      <c r="BD8" s="194"/>
      <c r="BE8" s="194"/>
      <c r="BF8" s="360" t="s">
        <v>153</v>
      </c>
      <c r="BG8" s="197"/>
      <c r="BH8" s="197"/>
      <c r="BI8" s="197"/>
      <c r="BJ8" s="163"/>
      <c r="BK8" s="163"/>
      <c r="BL8" s="163"/>
      <c r="BO8" s="12"/>
      <c r="BP8" s="9" t="s">
        <v>18</v>
      </c>
      <c r="BQ8" s="5">
        <v>750</v>
      </c>
      <c r="BR8" s="12"/>
      <c r="CA8" s="177"/>
      <c r="CB8" s="177"/>
      <c r="CC8" s="177"/>
      <c r="CD8" s="177"/>
      <c r="CE8" s="177"/>
      <c r="CF8" s="177"/>
      <c r="CG8" s="177"/>
      <c r="CH8" s="177"/>
      <c r="CI8" s="177"/>
    </row>
    <row r="9" spans="1:87" ht="48" customHeight="1" thickTop="1" thickBot="1" x14ac:dyDescent="0.45">
      <c r="B9" s="451" t="s">
        <v>149</v>
      </c>
      <c r="C9" s="465"/>
      <c r="D9" s="465"/>
      <c r="E9" s="465"/>
      <c r="F9" s="466"/>
      <c r="G9" s="467"/>
      <c r="H9" s="467"/>
      <c r="I9" s="467"/>
      <c r="J9" s="468"/>
      <c r="K9" s="287"/>
      <c r="L9" s="479" t="s">
        <v>133</v>
      </c>
      <c r="M9" s="480"/>
      <c r="N9" s="480"/>
      <c r="O9" s="480"/>
      <c r="P9" s="480"/>
      <c r="Q9" s="480"/>
      <c r="R9" s="481"/>
      <c r="S9" s="436" t="str">
        <f>IF(BD17=6,AU8,"")</f>
        <v/>
      </c>
      <c r="T9" s="437"/>
      <c r="U9" s="437"/>
      <c r="V9" s="437"/>
      <c r="W9" s="438"/>
      <c r="X9" s="404"/>
      <c r="Y9" s="454"/>
      <c r="Z9" s="454"/>
      <c r="AA9" s="454"/>
      <c r="AB9" s="455"/>
      <c r="AC9" s="455"/>
      <c r="AD9" s="455"/>
      <c r="AE9" s="455"/>
      <c r="AF9" s="456"/>
      <c r="AG9" s="287"/>
      <c r="AH9" s="415"/>
      <c r="AI9" s="430"/>
      <c r="AJ9" s="430"/>
      <c r="AK9" s="430"/>
      <c r="AL9" s="430"/>
      <c r="AM9" s="430"/>
      <c r="AN9" s="430"/>
      <c r="AO9" s="399"/>
      <c r="AP9" s="400"/>
      <c r="AQ9" s="400"/>
      <c r="AR9" s="400"/>
      <c r="AS9" s="400"/>
      <c r="AU9" s="285" t="str">
        <f>IF(F$17="","",AV9)</f>
        <v/>
      </c>
      <c r="AV9" s="5" t="str">
        <f>IF(F$17&lt;40,"1.5 hours",(IF(AND(F$17&gt;=40,F$17&lt;60),"2 hours",(IF(AND(F$17&gt;=60,F$17&lt;=90),"3 hours","4 hours")))))</f>
        <v>1.5 hours</v>
      </c>
      <c r="AW9" s="241" t="s">
        <v>21</v>
      </c>
      <c r="AX9" s="130">
        <v>1000</v>
      </c>
      <c r="AY9" s="128">
        <v>12</v>
      </c>
      <c r="AZ9" s="275">
        <v>250</v>
      </c>
      <c r="BA9" s="274"/>
      <c r="BB9" s="198"/>
      <c r="BC9" s="199"/>
      <c r="BD9" s="359" t="s">
        <v>152</v>
      </c>
      <c r="BE9" s="189"/>
      <c r="BF9" s="361" t="s">
        <v>154</v>
      </c>
      <c r="BG9" s="181"/>
      <c r="BH9" s="360" t="s">
        <v>155</v>
      </c>
      <c r="BI9" s="181"/>
      <c r="BJ9" s="117"/>
      <c r="BK9" s="163"/>
      <c r="BL9" s="118"/>
      <c r="BO9" s="12"/>
      <c r="BP9" s="9" t="s">
        <v>21</v>
      </c>
      <c r="BQ9" s="5">
        <v>1000</v>
      </c>
      <c r="BR9" s="12"/>
      <c r="CA9" s="176"/>
      <c r="CB9" s="177"/>
      <c r="CC9" s="177"/>
      <c r="CD9" s="177"/>
      <c r="CE9" s="176"/>
      <c r="CF9" s="177"/>
      <c r="CG9" s="177"/>
      <c r="CH9" s="176"/>
      <c r="CI9" s="177"/>
    </row>
    <row r="10" spans="1:87" ht="48" customHeight="1" thickTop="1" thickBot="1" x14ac:dyDescent="0.45">
      <c r="B10" s="469" t="s">
        <v>116</v>
      </c>
      <c r="C10" s="470"/>
      <c r="D10" s="470"/>
      <c r="E10" s="470"/>
      <c r="F10" s="471"/>
      <c r="G10" s="471"/>
      <c r="H10" s="471"/>
      <c r="I10" s="471"/>
      <c r="J10" s="471"/>
      <c r="K10" s="287"/>
      <c r="L10" s="479" t="s">
        <v>134</v>
      </c>
      <c r="M10" s="480"/>
      <c r="N10" s="480"/>
      <c r="O10" s="480"/>
      <c r="P10" s="480"/>
      <c r="Q10" s="480"/>
      <c r="R10" s="481"/>
      <c r="S10" s="436" t="str">
        <f>IF(BD17=6,AU9,"")</f>
        <v/>
      </c>
      <c r="T10" s="437"/>
      <c r="U10" s="437"/>
      <c r="V10" s="437"/>
      <c r="W10" s="438"/>
      <c r="X10" s="457"/>
      <c r="Y10" s="458"/>
      <c r="Z10" s="458"/>
      <c r="AA10" s="458"/>
      <c r="AB10" s="459"/>
      <c r="AC10" s="459"/>
      <c r="AD10" s="459"/>
      <c r="AE10" s="459"/>
      <c r="AF10" s="459"/>
      <c r="AG10" s="287"/>
      <c r="AH10" s="415"/>
      <c r="AI10" s="430"/>
      <c r="AJ10" s="430"/>
      <c r="AK10" s="430"/>
      <c r="AL10" s="430"/>
      <c r="AM10" s="430"/>
      <c r="AN10" s="430"/>
      <c r="AO10" s="399"/>
      <c r="AP10" s="400"/>
      <c r="AQ10" s="400"/>
      <c r="AR10" s="400"/>
      <c r="AS10" s="400"/>
      <c r="AU10" s="285" t="str">
        <f>IF(F$17="","",AV10)</f>
        <v/>
      </c>
      <c r="AV10" s="5" t="str">
        <f>IF(F$17&lt;40,"166 ml/hr",(IF(AND(F$17&gt;=40,F$17&lt;60),"125 ml/hr",(IF(AND(F$17&gt;=60,F$17&lt;=90),"166 ml/hr","125 ml/hr")))))</f>
        <v>166 ml/hr</v>
      </c>
      <c r="AW10" s="241" t="s">
        <v>22</v>
      </c>
      <c r="AX10" s="130">
        <v>1250</v>
      </c>
      <c r="AY10" s="127">
        <v>12</v>
      </c>
      <c r="AZ10" s="275">
        <v>250</v>
      </c>
      <c r="BA10" s="274"/>
      <c r="BB10" s="193" t="s">
        <v>104</v>
      </c>
      <c r="BC10" s="199"/>
      <c r="BD10" s="204">
        <f>IF(AND(F13&lt;&gt;"",F13&gt;=$BF$10,F13&lt;=$BH$10),1,0)</f>
        <v>0</v>
      </c>
      <c r="BE10" s="200"/>
      <c r="BF10" s="362">
        <v>16</v>
      </c>
      <c r="BG10" s="362"/>
      <c r="BH10" s="362">
        <v>110</v>
      </c>
      <c r="BI10" s="181"/>
      <c r="BJ10" s="117"/>
      <c r="BK10" s="163"/>
      <c r="BL10" s="118"/>
      <c r="BO10" s="12"/>
      <c r="BP10" s="15" t="s">
        <v>22</v>
      </c>
      <c r="BQ10" s="8">
        <v>1250</v>
      </c>
      <c r="BR10" s="12"/>
      <c r="CA10" s="177"/>
      <c r="CB10" s="177"/>
      <c r="CC10" s="177"/>
      <c r="CD10" s="177"/>
      <c r="CE10" s="177"/>
      <c r="CF10" s="177"/>
      <c r="CG10" s="177"/>
      <c r="CH10" s="177"/>
      <c r="CI10" s="177"/>
    </row>
    <row r="11" spans="1:87" ht="51" customHeight="1" thickTop="1" thickBot="1" x14ac:dyDescent="0.4">
      <c r="B11" s="451" t="s">
        <v>117</v>
      </c>
      <c r="C11" s="452"/>
      <c r="D11" s="452"/>
      <c r="E11" s="452"/>
      <c r="F11" s="453"/>
      <c r="G11" s="453"/>
      <c r="H11" s="453"/>
      <c r="I11" s="453"/>
      <c r="J11" s="453"/>
      <c r="K11" s="358"/>
      <c r="L11" s="434" t="s">
        <v>112</v>
      </c>
      <c r="M11" s="435"/>
      <c r="N11" s="435"/>
      <c r="O11" s="435"/>
      <c r="P11" s="435"/>
      <c r="Q11" s="435"/>
      <c r="R11" s="435"/>
      <c r="S11" s="436" t="str">
        <f>IF(BD17=6,AU10,"")</f>
        <v/>
      </c>
      <c r="T11" s="437"/>
      <c r="U11" s="437"/>
      <c r="V11" s="437"/>
      <c r="W11" s="438"/>
      <c r="X11" s="404"/>
      <c r="Y11" s="415"/>
      <c r="Z11" s="415"/>
      <c r="AA11" s="415"/>
      <c r="AB11" s="403"/>
      <c r="AC11" s="403"/>
      <c r="AD11" s="403"/>
      <c r="AE11" s="403"/>
      <c r="AF11" s="403"/>
      <c r="AG11" s="288"/>
      <c r="AH11" s="394"/>
      <c r="AI11" s="398"/>
      <c r="AJ11" s="398"/>
      <c r="AK11" s="398"/>
      <c r="AL11" s="398"/>
      <c r="AM11" s="398"/>
      <c r="AN11" s="398"/>
      <c r="AO11" s="399"/>
      <c r="AP11" s="400"/>
      <c r="AQ11" s="400"/>
      <c r="AR11" s="400"/>
      <c r="AS11" s="400"/>
      <c r="AW11" s="126" t="s">
        <v>24</v>
      </c>
      <c r="AX11" s="131">
        <v>1500</v>
      </c>
      <c r="AY11" s="129">
        <v>12</v>
      </c>
      <c r="AZ11" s="276">
        <v>500</v>
      </c>
      <c r="BA11" s="274"/>
      <c r="BB11" s="206" t="s">
        <v>105</v>
      </c>
      <c r="BC11" s="207">
        <f>IF(F14&lt;&gt;"",1,0)</f>
        <v>0</v>
      </c>
      <c r="BD11" s="208"/>
      <c r="BE11" s="190"/>
      <c r="BF11" s="362">
        <v>109</v>
      </c>
      <c r="BG11" s="363"/>
      <c r="BH11" s="363">
        <v>212</v>
      </c>
      <c r="BI11" s="196"/>
      <c r="BJ11" s="118"/>
      <c r="BK11" s="118"/>
      <c r="BL11" s="118"/>
      <c r="BO11" s="12"/>
      <c r="BP11" s="16" t="s">
        <v>24</v>
      </c>
      <c r="BQ11" s="8">
        <v>1500</v>
      </c>
      <c r="BR11" s="12"/>
    </row>
    <row r="12" spans="1:87" ht="48" customHeight="1" thickTop="1" thickBot="1" x14ac:dyDescent="0.45">
      <c r="B12" s="499" t="s">
        <v>159</v>
      </c>
      <c r="C12" s="500"/>
      <c r="D12" s="500"/>
      <c r="E12" s="501"/>
      <c r="F12" s="506"/>
      <c r="G12" s="464"/>
      <c r="H12" s="464"/>
      <c r="I12" s="464"/>
      <c r="J12" s="464"/>
      <c r="K12" s="287">
        <f>IF(F12&lt;&gt;"",1,0)</f>
        <v>0</v>
      </c>
      <c r="L12" s="489" t="s">
        <v>118</v>
      </c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1"/>
      <c r="X12" s="384"/>
      <c r="Y12" s="407"/>
      <c r="Z12" s="407"/>
      <c r="AA12" s="407"/>
      <c r="AB12" s="408"/>
      <c r="AC12" s="409"/>
      <c r="AD12" s="409"/>
      <c r="AE12" s="409"/>
      <c r="AF12" s="409"/>
      <c r="AG12" s="287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W12" s="3"/>
      <c r="AX12" s="132" t="s">
        <v>25</v>
      </c>
      <c r="AY12" s="133" t="s">
        <v>5</v>
      </c>
      <c r="AZ12" s="277" t="s">
        <v>133</v>
      </c>
      <c r="BB12" s="209" t="s">
        <v>106</v>
      </c>
      <c r="BC12" s="210">
        <f>IF(AND(F15&lt;&gt;"",F16&gt;=0,F16&lt;=12),1,0)</f>
        <v>0</v>
      </c>
      <c r="BD12" s="211">
        <f>IF(AND(OR(BC11=1,BC12=1),$AX$31&gt;=BF11,$AX$31&lt;=BH11),1,0)</f>
        <v>0</v>
      </c>
      <c r="BE12" s="190"/>
      <c r="BF12" s="362"/>
      <c r="BG12" s="363"/>
      <c r="BH12" s="363"/>
      <c r="BI12" s="196"/>
      <c r="BJ12" s="118"/>
      <c r="BK12" s="118"/>
      <c r="BL12" s="118"/>
      <c r="BO12" s="12"/>
      <c r="BP12" s="4"/>
      <c r="BQ12" s="19" t="s">
        <v>25</v>
      </c>
      <c r="BR12" s="12"/>
      <c r="CA12" s="168"/>
      <c r="CB12" s="169"/>
      <c r="CC12" s="178"/>
      <c r="CD12" s="178"/>
      <c r="CE12" s="174"/>
      <c r="CF12" s="179"/>
      <c r="CG12" s="460"/>
      <c r="CH12" s="460"/>
    </row>
    <row r="13" spans="1:87" ht="48" customHeight="1" thickTop="1" thickBot="1" x14ac:dyDescent="0.4">
      <c r="A13" s="215"/>
      <c r="B13" s="432" t="s">
        <v>110</v>
      </c>
      <c r="C13" s="433"/>
      <c r="D13" s="433"/>
      <c r="E13" s="433"/>
      <c r="F13" s="453"/>
      <c r="G13" s="507"/>
      <c r="H13" s="507"/>
      <c r="I13" s="507"/>
      <c r="J13" s="507"/>
      <c r="K13" s="287">
        <f t="shared" ref="K13:K19" si="0">IF(F13&lt;&gt;"",1,0)</f>
        <v>0</v>
      </c>
      <c r="L13" s="439" t="s">
        <v>98</v>
      </c>
      <c r="M13" s="440"/>
      <c r="N13" s="440"/>
      <c r="O13" s="440"/>
      <c r="P13" s="440"/>
      <c r="Q13" s="440"/>
      <c r="R13" s="441"/>
      <c r="S13" s="442" t="s">
        <v>135</v>
      </c>
      <c r="T13" s="443"/>
      <c r="U13" s="443"/>
      <c r="V13" s="443"/>
      <c r="W13" s="444"/>
      <c r="X13" s="401"/>
      <c r="Y13" s="402"/>
      <c r="Z13" s="402"/>
      <c r="AA13" s="402"/>
      <c r="AB13" s="403"/>
      <c r="AC13" s="411"/>
      <c r="AD13" s="411"/>
      <c r="AE13" s="411"/>
      <c r="AF13" s="411"/>
      <c r="AG13" s="287"/>
      <c r="AH13" s="404"/>
      <c r="AI13" s="406"/>
      <c r="AJ13" s="406"/>
      <c r="AK13" s="406"/>
      <c r="AL13" s="406"/>
      <c r="AM13" s="406"/>
      <c r="AN13" s="406"/>
      <c r="AO13" s="412"/>
      <c r="AP13" s="406"/>
      <c r="AQ13" s="406"/>
      <c r="AR13" s="406"/>
      <c r="AS13" s="406"/>
      <c r="AW13" s="20"/>
      <c r="AX13" s="134">
        <f>IF(OR(AND($F$20&lt;20,$F$12="10-15"),AND($F$20&lt;10,$F$12="15-20")),AX4,0)</f>
        <v>0</v>
      </c>
      <c r="AY13" s="134">
        <f t="shared" ref="AY13:AZ13" si="1">IF(OR(AND($F$20&lt;20,$F$12="10-15"),AND($F$20&lt;10,$F$12="15-20")),AY4,0)</f>
        <v>0</v>
      </c>
      <c r="AZ13" s="134">
        <f t="shared" si="1"/>
        <v>0</v>
      </c>
      <c r="BB13" s="198" t="s">
        <v>107</v>
      </c>
      <c r="BC13" s="199"/>
      <c r="BD13" s="204">
        <f>IF(AND(F17&lt;&gt;"",F17&gt;=$BF$13,F17&lt;=$BH$13),1,0)</f>
        <v>0</v>
      </c>
      <c r="BE13" s="191"/>
      <c r="BF13" s="362">
        <v>30</v>
      </c>
      <c r="BG13" s="363"/>
      <c r="BH13" s="363">
        <v>300</v>
      </c>
      <c r="BI13" s="162"/>
      <c r="BJ13" s="162"/>
      <c r="BK13" s="118"/>
      <c r="BL13" s="175"/>
      <c r="BO13" s="12"/>
      <c r="BP13" s="4"/>
      <c r="BQ13" s="4">
        <f>IF(F20&lt;20,BQ4,0)</f>
        <v>0</v>
      </c>
      <c r="BR13" s="12"/>
      <c r="CA13" s="172"/>
      <c r="CB13" s="163"/>
      <c r="CC13" s="173"/>
      <c r="CD13" s="165"/>
      <c r="CE13" s="161"/>
      <c r="CF13" s="174"/>
      <c r="CG13" s="460"/>
      <c r="CH13" s="460"/>
    </row>
    <row r="14" spans="1:87" ht="48" customHeight="1" thickTop="1" thickBot="1" x14ac:dyDescent="0.4">
      <c r="A14" s="215"/>
      <c r="B14" s="432" t="s">
        <v>150</v>
      </c>
      <c r="C14" s="433"/>
      <c r="D14" s="433"/>
      <c r="E14" s="433"/>
      <c r="F14" s="453"/>
      <c r="G14" s="507"/>
      <c r="H14" s="507"/>
      <c r="I14" s="507"/>
      <c r="J14" s="507"/>
      <c r="K14" s="287"/>
      <c r="L14" s="434" t="s">
        <v>119</v>
      </c>
      <c r="M14" s="435"/>
      <c r="N14" s="435"/>
      <c r="O14" s="435"/>
      <c r="P14" s="435"/>
      <c r="Q14" s="435"/>
      <c r="R14" s="435"/>
      <c r="S14" s="516" t="str">
        <f>IF(BD17=6,BO28,"")</f>
        <v/>
      </c>
      <c r="T14" s="517"/>
      <c r="U14" s="517"/>
      <c r="V14" s="517"/>
      <c r="W14" s="518"/>
      <c r="X14" s="401"/>
      <c r="Y14" s="402"/>
      <c r="Z14" s="402"/>
      <c r="AA14" s="402"/>
      <c r="AB14" s="403"/>
      <c r="AC14" s="411"/>
      <c r="AD14" s="411"/>
      <c r="AE14" s="411"/>
      <c r="AF14" s="411"/>
      <c r="AG14" s="287"/>
      <c r="AH14" s="394"/>
      <c r="AI14" s="398"/>
      <c r="AJ14" s="398"/>
      <c r="AK14" s="398"/>
      <c r="AL14" s="398"/>
      <c r="AM14" s="398"/>
      <c r="AN14" s="398"/>
      <c r="AO14" s="413"/>
      <c r="AP14" s="414"/>
      <c r="AQ14" s="414"/>
      <c r="AR14" s="414"/>
      <c r="AS14" s="414"/>
      <c r="AV14" s="286" t="str">
        <f>IF(AND(AX30&gt;0,BD17=6),(AX21),"")</f>
        <v/>
      </c>
      <c r="AW14" s="20"/>
      <c r="AX14" s="135">
        <f>IF(OR(AND($F$20&gt;=20,$F$20&lt;30,$F$12="10-15"),AND($F$20&gt;=10,$F$20&lt;20,$F$12="15-20")),AX5,0)</f>
        <v>0</v>
      </c>
      <c r="AY14" s="135">
        <f>IF(OR(AND($F$20&gt;=20,$F$20&lt;30,$F$12="10-15"),AND($F$20&gt;=10,$F$20&lt;20,$F$12="15-20")),AY5,0)</f>
        <v>0</v>
      </c>
      <c r="AZ14" s="135">
        <f>IF(OR(AND($F$20&gt;=20,$F$20&lt;30,$F$12="10-15"),AND($F$20&gt;=10,$F$20&lt;20,$F$12="15-20")),AZ5,0)</f>
        <v>0</v>
      </c>
      <c r="BB14" s="198" t="s">
        <v>87</v>
      </c>
      <c r="BC14" s="199"/>
      <c r="BD14" s="203">
        <f>IF(OR(F18="Male",F18="Female"),1,0)</f>
        <v>0</v>
      </c>
      <c r="BE14" s="192"/>
      <c r="BF14" s="362" t="s">
        <v>156</v>
      </c>
      <c r="BG14" s="363"/>
      <c r="BH14" s="363" t="s">
        <v>157</v>
      </c>
      <c r="BI14" s="162"/>
      <c r="BJ14" s="162"/>
      <c r="BK14" s="118"/>
      <c r="BL14" s="175"/>
      <c r="BO14" s="12"/>
      <c r="BP14" s="4"/>
      <c r="BQ14" s="4">
        <f>IF(AND($F$20&gt;=20,$F$20&lt;30),BQ5,0)</f>
        <v>0</v>
      </c>
      <c r="BR14" s="12"/>
    </row>
    <row r="15" spans="1:87" ht="48" customHeight="1" thickTop="1" thickBot="1" x14ac:dyDescent="0.45">
      <c r="A15" s="215"/>
      <c r="B15" s="432" t="s">
        <v>120</v>
      </c>
      <c r="C15" s="433"/>
      <c r="D15" s="433"/>
      <c r="E15" s="433"/>
      <c r="F15" s="453"/>
      <c r="G15" s="507"/>
      <c r="H15" s="507"/>
      <c r="I15" s="507"/>
      <c r="J15" s="507"/>
      <c r="K15" s="287"/>
      <c r="L15" s="519" t="s">
        <v>162</v>
      </c>
      <c r="M15" s="520"/>
      <c r="N15" s="520"/>
      <c r="O15" s="520"/>
      <c r="P15" s="520"/>
      <c r="Q15" s="520"/>
      <c r="R15" s="521"/>
      <c r="S15" s="436" t="str">
        <f>IF(AV14&lt;&gt;"",CONCATENATE(AV14," mg"),"")</f>
        <v/>
      </c>
      <c r="T15" s="437"/>
      <c r="U15" s="437"/>
      <c r="V15" s="437"/>
      <c r="W15" s="438"/>
      <c r="X15" s="401"/>
      <c r="Y15" s="402"/>
      <c r="Z15" s="402"/>
      <c r="AA15" s="402"/>
      <c r="AB15" s="403"/>
      <c r="AC15" s="411"/>
      <c r="AD15" s="411"/>
      <c r="AE15" s="411"/>
      <c r="AF15" s="411"/>
      <c r="AG15" s="287"/>
      <c r="AH15" s="404"/>
      <c r="AI15" s="406"/>
      <c r="AJ15" s="406"/>
      <c r="AK15" s="406"/>
      <c r="AL15" s="406"/>
      <c r="AM15" s="406"/>
      <c r="AN15" s="406"/>
      <c r="AO15" s="399"/>
      <c r="AP15" s="400"/>
      <c r="AQ15" s="400"/>
      <c r="AR15" s="400"/>
      <c r="AS15" s="400"/>
      <c r="AV15" s="286" t="str">
        <f>IF(AND(AX30&gt;0,BD17=6),(AZ21),"")</f>
        <v/>
      </c>
      <c r="AW15" s="20"/>
      <c r="AX15" s="135">
        <f>IF(OR(AND($F$20&gt;=30,$F$20&lt;40,$F$12="10-15"),AND($F$20&gt;=20,$F$20&lt;30,$F$12="15-20")),AX6,0)</f>
        <v>0</v>
      </c>
      <c r="AY15" s="135">
        <f>IF(OR(AND($F$20&gt;=30,$F$20&lt;40,$F$12="10-15"),AND($F$20&gt;=20,$F$20&lt;30,$F$12="15-20")),AY6,0)</f>
        <v>0</v>
      </c>
      <c r="AZ15" s="135">
        <f>IF(OR(AND($F$20&gt;=30,$F$20&lt;40,$F$12="10-15"),AND($F$20&gt;=20,$F$20&lt;30,$F$12="15-20")),AZ6,0)</f>
        <v>0</v>
      </c>
      <c r="BB15" s="198" t="s">
        <v>88</v>
      </c>
      <c r="BC15" s="199"/>
      <c r="BD15" s="203">
        <f>IF(AND(F19&lt;&gt;"",F19&gt;=$BF$15,F19&lt;=$BH$15),1,0)</f>
        <v>0</v>
      </c>
      <c r="BE15" s="192"/>
      <c r="BF15" s="362">
        <v>20</v>
      </c>
      <c r="BG15" s="362"/>
      <c r="BH15" s="362">
        <v>500</v>
      </c>
      <c r="BI15" s="119"/>
      <c r="BJ15" s="119"/>
      <c r="BK15" s="175"/>
      <c r="BL15" s="175"/>
      <c r="BM15" s="12"/>
      <c r="BN15" s="12"/>
      <c r="BO15" s="12"/>
      <c r="BP15" s="4"/>
      <c r="BQ15" s="4">
        <f>IF(AND($F$20&gt;=30,$F$20&lt;40),BQ6,0)</f>
        <v>0</v>
      </c>
      <c r="BR15" s="12"/>
      <c r="CA15" s="176"/>
      <c r="CB15" s="177"/>
      <c r="CC15" s="176"/>
      <c r="CD15" s="177"/>
      <c r="CE15" s="176"/>
      <c r="CF15" s="177"/>
      <c r="CG15" s="176"/>
      <c r="CH15" s="177"/>
    </row>
    <row r="16" spans="1:87" ht="48" customHeight="1" thickTop="1" thickBot="1" x14ac:dyDescent="0.45">
      <c r="A16" s="215"/>
      <c r="B16" s="432" t="s">
        <v>140</v>
      </c>
      <c r="C16" s="433"/>
      <c r="D16" s="433"/>
      <c r="E16" s="433"/>
      <c r="F16" s="453"/>
      <c r="G16" s="507"/>
      <c r="H16" s="507"/>
      <c r="I16" s="507"/>
      <c r="J16" s="507"/>
      <c r="K16" s="287">
        <f>IF(OR(F14&lt;&gt;"",F15&lt;&gt;""),1,0)</f>
        <v>0</v>
      </c>
      <c r="L16" s="434" t="s">
        <v>133</v>
      </c>
      <c r="M16" s="435"/>
      <c r="N16" s="435"/>
      <c r="O16" s="435"/>
      <c r="P16" s="435"/>
      <c r="Q16" s="435"/>
      <c r="R16" s="435"/>
      <c r="S16" s="436" t="str">
        <f>IF(AV15&lt;&gt;"",CONCATENATE(AV15," ml"),"")</f>
        <v/>
      </c>
      <c r="T16" s="437"/>
      <c r="U16" s="437"/>
      <c r="V16" s="437"/>
      <c r="W16" s="438"/>
      <c r="X16" s="401"/>
      <c r="Y16" s="402"/>
      <c r="Z16" s="402"/>
      <c r="AA16" s="402"/>
      <c r="AB16" s="403"/>
      <c r="AC16" s="411"/>
      <c r="AD16" s="411"/>
      <c r="AE16" s="411"/>
      <c r="AF16" s="411"/>
      <c r="AG16" s="287"/>
      <c r="AH16" s="394"/>
      <c r="AI16" s="398"/>
      <c r="AJ16" s="398"/>
      <c r="AK16" s="398"/>
      <c r="AL16" s="398"/>
      <c r="AM16" s="398"/>
      <c r="AN16" s="398"/>
      <c r="AO16" s="399"/>
      <c r="AP16" s="400"/>
      <c r="AQ16" s="400"/>
      <c r="AR16" s="400"/>
      <c r="AS16" s="400"/>
      <c r="AV16" s="286" t="str">
        <f>IF(AZ31&gt;0,AZ31,"")</f>
        <v/>
      </c>
      <c r="AW16" s="20"/>
      <c r="AX16" s="135">
        <f>IF(OR(AND($F$20&gt;=40,$F$20&lt;55,$F$12="10-15"),AND($F$20&gt;=30,$F$20&lt;40,$F$12="15-20")),AX7,0)</f>
        <v>0</v>
      </c>
      <c r="AY16" s="135">
        <f>IF(OR(AND($F$20&gt;=40,$F$20&lt;55,$F$12="10-15"),AND($F$20&gt;=30,$F$20&lt;40,$F$12="15-20")),AY7,0)</f>
        <v>0</v>
      </c>
      <c r="AZ16" s="135">
        <f>IF(OR(AND($F$20&gt;=40,$F$20&lt;55,$F$12="10-15"),AND($F$20&gt;=30,$F$20&lt;40,$F$12="15-20")),AZ7,0)</f>
        <v>0</v>
      </c>
      <c r="BB16" s="254" t="s">
        <v>132</v>
      </c>
      <c r="BC16" s="199"/>
      <c r="BD16" s="203">
        <f>IF(F12&lt;&gt;"",1,0)</f>
        <v>0</v>
      </c>
      <c r="BE16" s="192"/>
      <c r="BF16" s="119"/>
      <c r="BG16" s="119"/>
      <c r="BH16" s="119"/>
      <c r="BI16" s="119"/>
      <c r="BJ16" s="119"/>
      <c r="BK16" s="175"/>
      <c r="BL16" s="175"/>
      <c r="BM16" s="12"/>
      <c r="BN16" s="12"/>
      <c r="BO16" s="12"/>
      <c r="BP16" s="4"/>
      <c r="BQ16" s="4">
        <f>IF(AND($F$20&gt;=40,$F$20&lt;55),BQ7,0)</f>
        <v>0</v>
      </c>
      <c r="BR16" s="12"/>
      <c r="CA16" s="176"/>
      <c r="CB16" s="177"/>
      <c r="CC16" s="176"/>
      <c r="CD16" s="177"/>
      <c r="CE16" s="176"/>
      <c r="CF16" s="177"/>
      <c r="CG16" s="177"/>
      <c r="CH16" s="177"/>
    </row>
    <row r="17" spans="1:87" ht="48" customHeight="1" thickTop="1" thickBot="1" x14ac:dyDescent="0.4">
      <c r="A17" s="298"/>
      <c r="B17" s="502" t="s">
        <v>111</v>
      </c>
      <c r="C17" s="503"/>
      <c r="D17" s="503"/>
      <c r="E17" s="503"/>
      <c r="F17" s="508"/>
      <c r="G17" s="509"/>
      <c r="H17" s="509"/>
      <c r="I17" s="509"/>
      <c r="J17" s="509"/>
      <c r="K17" s="287">
        <f t="shared" si="0"/>
        <v>0</v>
      </c>
      <c r="L17" s="434" t="s">
        <v>134</v>
      </c>
      <c r="M17" s="435"/>
      <c r="N17" s="435"/>
      <c r="O17" s="435"/>
      <c r="P17" s="435"/>
      <c r="Q17" s="435"/>
      <c r="R17" s="435"/>
      <c r="S17" s="436" t="str">
        <f>IF(AV16&lt;&gt;"",CONCATENATE(AV16," hours"),"")</f>
        <v/>
      </c>
      <c r="T17" s="437"/>
      <c r="U17" s="437"/>
      <c r="V17" s="437"/>
      <c r="W17" s="438"/>
      <c r="X17" s="394"/>
      <c r="Y17" s="395"/>
      <c r="Z17" s="395"/>
      <c r="AA17" s="395"/>
      <c r="AB17" s="396"/>
      <c r="AC17" s="397"/>
      <c r="AD17" s="397"/>
      <c r="AE17" s="397"/>
      <c r="AF17" s="397"/>
      <c r="AG17" s="287"/>
      <c r="AH17" s="394"/>
      <c r="AI17" s="398"/>
      <c r="AJ17" s="398"/>
      <c r="AK17" s="398"/>
      <c r="AL17" s="398"/>
      <c r="AM17" s="398"/>
      <c r="AN17" s="398"/>
      <c r="AO17" s="399"/>
      <c r="AP17" s="400"/>
      <c r="AQ17" s="400"/>
      <c r="AR17" s="400"/>
      <c r="AS17" s="400"/>
      <c r="AV17" s="286" t="str">
        <f>IF(BK24&lt;&gt;"",BK24,IF(BK25&lt;&gt;"",BK25,IF(BK26&lt;&gt;"",BK26,IF(BK27&lt;&gt;"",BK27,IF(BK28&lt;&gt;"",BK28,IF(BK29&lt;&gt;"",BK29,IF(BK30&lt;&gt;"",BK30,IF(BK31&lt;&gt;"",BK31,IF(BK32&lt;&gt;"",BK32,IF(BK33&lt;&gt;"",BK33,IF(BK34&lt;&gt;"",BK34,"")))))))))))</f>
        <v/>
      </c>
      <c r="AW17" s="20"/>
      <c r="AX17" s="135">
        <f>IF(OR(AND($F$20&gt;=55,$F$20&lt;75,$F$12="10-15"),AND($F$20&gt;=40,$F$20&lt;55,$F$12="15-20")),AX8,0)</f>
        <v>0</v>
      </c>
      <c r="AY17" s="135">
        <f>IF(OR(AND($F$20&gt;=55,$F$20&lt;75,$F$12="10-15"),AND($F$20&gt;=40,$F$20&lt;55,$F$12="15-20")),AY8,0)</f>
        <v>0</v>
      </c>
      <c r="AZ17" s="135">
        <f>IF(OR(AND($F$20&gt;=55,$F$20&lt;75,$F$12="10-15"),AND($F$20&gt;=40,$F$20&lt;55,$F$12="15-20")),AZ8,0)</f>
        <v>0</v>
      </c>
      <c r="BB17" s="193" t="s">
        <v>108</v>
      </c>
      <c r="BC17" s="199"/>
      <c r="BD17" s="205">
        <f>BD10+BD12+BD13+BD14+BD15+BD16</f>
        <v>0</v>
      </c>
      <c r="BE17" s="192"/>
      <c r="BF17" s="119"/>
      <c r="BG17" s="119"/>
      <c r="BH17" s="119"/>
      <c r="BI17" s="119"/>
      <c r="BJ17" s="119"/>
      <c r="BK17" s="175"/>
      <c r="BL17" s="175"/>
      <c r="BM17" s="12"/>
      <c r="BN17" s="12"/>
      <c r="BO17" s="12"/>
      <c r="BP17" s="4"/>
      <c r="BQ17" s="4">
        <f>IF(AND($F$20&gt;=55,$F$20&lt;75),BQ8,0)</f>
        <v>0</v>
      </c>
      <c r="BR17" s="12"/>
      <c r="CA17" s="177"/>
      <c r="CB17" s="177"/>
      <c r="CC17" s="177"/>
      <c r="CD17" s="177"/>
      <c r="CE17" s="177"/>
      <c r="CF17" s="177"/>
      <c r="CG17" s="177"/>
      <c r="CH17" s="177"/>
    </row>
    <row r="18" spans="1:87" ht="48" customHeight="1" thickTop="1" thickBot="1" x14ac:dyDescent="0.45">
      <c r="A18" s="299"/>
      <c r="B18" s="502" t="s">
        <v>158</v>
      </c>
      <c r="C18" s="503"/>
      <c r="D18" s="503"/>
      <c r="E18" s="503"/>
      <c r="F18" s="453"/>
      <c r="G18" s="453"/>
      <c r="H18" s="453"/>
      <c r="I18" s="453"/>
      <c r="J18" s="453"/>
      <c r="K18" s="287">
        <f t="shared" si="0"/>
        <v>0</v>
      </c>
      <c r="L18" s="434" t="s">
        <v>112</v>
      </c>
      <c r="M18" s="435"/>
      <c r="N18" s="435"/>
      <c r="O18" s="435"/>
      <c r="P18" s="435"/>
      <c r="Q18" s="435"/>
      <c r="R18" s="435"/>
      <c r="S18" s="436" t="str">
        <f>IF(AV17&lt;&gt;"",CONCATENATE(AV17," ml/hour"),"")</f>
        <v/>
      </c>
      <c r="T18" s="437"/>
      <c r="U18" s="437"/>
      <c r="V18" s="437"/>
      <c r="W18" s="438"/>
      <c r="X18" s="401"/>
      <c r="Y18" s="402"/>
      <c r="Z18" s="402"/>
      <c r="AA18" s="402"/>
      <c r="AB18" s="403"/>
      <c r="AC18" s="403"/>
      <c r="AD18" s="403"/>
      <c r="AE18" s="403"/>
      <c r="AF18" s="403"/>
      <c r="AG18" s="227"/>
      <c r="AH18" s="394"/>
      <c r="AI18" s="398"/>
      <c r="AJ18" s="398"/>
      <c r="AK18" s="398"/>
      <c r="AL18" s="398"/>
      <c r="AM18" s="398"/>
      <c r="AN18" s="398"/>
      <c r="AO18" s="399"/>
      <c r="AP18" s="400"/>
      <c r="AQ18" s="400"/>
      <c r="AR18" s="400"/>
      <c r="AS18" s="400"/>
      <c r="AV18" s="286" t="str">
        <f>IF(AX30&gt;0,AY21,"")</f>
        <v/>
      </c>
      <c r="AW18" s="20"/>
      <c r="AX18" s="135">
        <f>IF(OR(AND($F$20&gt;=75,$F$20&lt;90,$F$12="10-15"),AND($F$20&gt;=55,$F$20&lt;75,$F$12="15-20")),AX9,0)</f>
        <v>0</v>
      </c>
      <c r="AY18" s="135">
        <f>IF(OR(AND($F$20&gt;=75,$F$20&lt;90,$F$12="10-15"),AND($F$20&gt;=55,$F$20&lt;75,$F$12="15-20")),AY9,0)</f>
        <v>0</v>
      </c>
      <c r="AZ18" s="135">
        <f>IF(OR(AND($F$20&gt;=75,$F$20&lt;90,$F$12="10-15"),AND($F$20&gt;=55,$F$20&lt;75,$F$12="15-20")),AZ9,0)</f>
        <v>0</v>
      </c>
      <c r="BB18" s="198"/>
      <c r="BC18" s="199"/>
      <c r="BD18" s="204"/>
      <c r="BE18" s="192"/>
      <c r="BF18" s="119"/>
      <c r="BG18" s="119"/>
      <c r="BH18" s="119"/>
      <c r="BI18" s="119"/>
      <c r="BJ18" s="119"/>
      <c r="BK18" s="175"/>
      <c r="BL18" s="175"/>
      <c r="BM18" s="12"/>
      <c r="BN18" s="12"/>
      <c r="BO18" s="12"/>
      <c r="BP18" s="4"/>
      <c r="BQ18" s="4">
        <f>IF(AND($F$20&gt;=75,$F$20&lt;90),BQ9,0)</f>
        <v>0</v>
      </c>
      <c r="BR18" s="12"/>
      <c r="CA18" s="176"/>
      <c r="CB18" s="177"/>
      <c r="CC18" s="176"/>
      <c r="CD18" s="177"/>
      <c r="CE18" s="176"/>
      <c r="CF18" s="177"/>
      <c r="CG18" s="176"/>
      <c r="CH18" s="177"/>
    </row>
    <row r="19" spans="1:87" ht="48" customHeight="1" thickTop="1" thickBot="1" x14ac:dyDescent="0.4">
      <c r="B19" s="502" t="s">
        <v>151</v>
      </c>
      <c r="C19" s="503"/>
      <c r="D19" s="503"/>
      <c r="E19" s="503"/>
      <c r="F19" s="453"/>
      <c r="G19" s="453"/>
      <c r="H19" s="453"/>
      <c r="I19" s="453"/>
      <c r="J19" s="510"/>
      <c r="K19" s="287">
        <f t="shared" si="0"/>
        <v>0</v>
      </c>
      <c r="L19" s="522" t="s">
        <v>136</v>
      </c>
      <c r="M19" s="523"/>
      <c r="N19" s="523"/>
      <c r="O19" s="523"/>
      <c r="P19" s="523"/>
      <c r="Q19" s="523"/>
      <c r="R19" s="524"/>
      <c r="S19" s="436" t="str">
        <f>IF(AV18&lt;&gt;"",CONCATENATE(AV18," hours"),"")</f>
        <v/>
      </c>
      <c r="T19" s="437"/>
      <c r="U19" s="437"/>
      <c r="V19" s="437"/>
      <c r="W19" s="438"/>
      <c r="X19" s="394"/>
      <c r="Y19" s="395"/>
      <c r="Z19" s="395"/>
      <c r="AA19" s="395"/>
      <c r="AB19" s="403"/>
      <c r="AC19" s="403"/>
      <c r="AD19" s="403"/>
      <c r="AE19" s="403"/>
      <c r="AF19" s="403"/>
      <c r="AG19" s="233"/>
      <c r="AH19" s="404"/>
      <c r="AI19" s="405"/>
      <c r="AJ19" s="405"/>
      <c r="AK19" s="405"/>
      <c r="AL19" s="405"/>
      <c r="AM19" s="405"/>
      <c r="AN19" s="406"/>
      <c r="AO19" s="399"/>
      <c r="AP19" s="400"/>
      <c r="AQ19" s="400"/>
      <c r="AR19" s="400"/>
      <c r="AS19" s="400"/>
      <c r="AU19" s="73"/>
      <c r="AV19" s="73"/>
      <c r="AW19" s="20"/>
      <c r="AX19" s="135">
        <f>IF(OR(AND($F$20&gt;=90,$F$20&lt;=110,$F$12="10-15"),AND($F$20&gt;=75,$F$20&lt;90,$F$12="15-20")),AX10,0)</f>
        <v>0</v>
      </c>
      <c r="AY19" s="135">
        <f>IF(OR(AND($F$20&gt;=90,$F$20&lt;=110,$F$12="10-15"),AND($F$20&gt;=75,$F$20&lt;90,$F$12="15-20")),AY10,0)</f>
        <v>0</v>
      </c>
      <c r="AZ19" s="135">
        <f>IF(OR(AND($F$20&gt;=90,$F$20&lt;=110,$F$12="10-15"),AND($F$20&gt;=75,$F$20&lt;90,$F$12="15-20")),AZ10,0)</f>
        <v>0</v>
      </c>
      <c r="BB19" s="195"/>
      <c r="BC19" s="201"/>
      <c r="BD19" s="119"/>
      <c r="BE19" s="122"/>
      <c r="BF19" s="119"/>
      <c r="BG19" s="119"/>
      <c r="BH19" s="119"/>
      <c r="BI19" s="119"/>
      <c r="BJ19" s="119"/>
      <c r="BK19" s="175"/>
      <c r="BL19" s="175"/>
      <c r="BM19" s="12"/>
      <c r="BN19" s="12"/>
      <c r="BO19" s="12"/>
      <c r="BP19" s="4"/>
      <c r="BQ19" s="4">
        <f>IF(AND($F$20&gt;=90,$F$20&lt;=110),BQ10,0)</f>
        <v>0</v>
      </c>
      <c r="BR19" s="12"/>
      <c r="CA19" s="177"/>
      <c r="CB19" s="177"/>
      <c r="CC19" s="177"/>
      <c r="CD19" s="177"/>
      <c r="CE19" s="177"/>
      <c r="CF19" s="177"/>
      <c r="CG19" s="177"/>
      <c r="CH19" s="177"/>
    </row>
    <row r="20" spans="1:87" ht="36.75" customHeight="1" thickTop="1" x14ac:dyDescent="0.35">
      <c r="B20" s="504" t="s">
        <v>27</v>
      </c>
      <c r="C20" s="505"/>
      <c r="D20" s="505"/>
      <c r="E20" s="505"/>
      <c r="F20" s="511" t="str">
        <f>IF(AX30&gt;0,AX30,"")</f>
        <v/>
      </c>
      <c r="G20" s="512"/>
      <c r="H20" s="512"/>
      <c r="I20" s="512"/>
      <c r="J20" s="513"/>
      <c r="K20" s="289">
        <f>SUM(K12,K13,K16:K19)</f>
        <v>0</v>
      </c>
      <c r="L20" s="492" t="s">
        <v>139</v>
      </c>
      <c r="M20" s="493"/>
      <c r="N20" s="493"/>
      <c r="O20" s="493"/>
      <c r="P20" s="493"/>
      <c r="Q20" s="493"/>
      <c r="R20" s="494"/>
      <c r="S20" s="495"/>
      <c r="T20" s="496"/>
      <c r="U20" s="496"/>
      <c r="V20" s="496"/>
      <c r="W20" s="496"/>
      <c r="X20" s="384"/>
      <c r="Y20" s="385"/>
      <c r="Z20" s="385"/>
      <c r="AA20" s="385"/>
      <c r="AB20" s="386"/>
      <c r="AC20" s="387"/>
      <c r="AD20" s="387"/>
      <c r="AE20" s="387"/>
      <c r="AF20" s="387"/>
      <c r="AG20" s="289"/>
      <c r="AH20" s="388"/>
      <c r="AI20" s="388"/>
      <c r="AJ20" s="388"/>
      <c r="AK20" s="388"/>
      <c r="AL20" s="388"/>
      <c r="AM20" s="388"/>
      <c r="AN20" s="389"/>
      <c r="AO20" s="390"/>
      <c r="AP20" s="391"/>
      <c r="AQ20" s="391"/>
      <c r="AR20" s="391"/>
      <c r="AS20" s="391"/>
      <c r="AT20" s="353"/>
      <c r="AU20" s="73"/>
      <c r="AV20" s="73"/>
      <c r="AW20" s="20"/>
      <c r="AX20" s="136">
        <f>IF(OR($F$20&gt;110,AND($F$20&gt;=90,$F20&lt;=110,$F$12="15-20")),AX11,0)</f>
        <v>1500</v>
      </c>
      <c r="AY20" s="136">
        <f>IF(OR($F$20&gt;110,AND($F$20&gt;=90,$F20&lt;=110,$F$12="15-20")),AY11,0)</f>
        <v>12</v>
      </c>
      <c r="AZ20" s="136">
        <f>IF(OR($F$20&gt;110,AND($F$20&gt;=90,$F20&lt;=110,$F$12="15-20")),AZ11,0)</f>
        <v>500</v>
      </c>
      <c r="BB20" s="195"/>
      <c r="BC20" s="201"/>
      <c r="BD20" s="119"/>
      <c r="BE20" s="120"/>
      <c r="BF20" s="119"/>
      <c r="BG20" s="119"/>
      <c r="BH20" s="119"/>
      <c r="BI20" s="119"/>
      <c r="BJ20" s="119"/>
      <c r="BK20" s="175"/>
      <c r="BL20" s="175"/>
      <c r="BM20" s="12"/>
      <c r="BN20" s="12"/>
      <c r="BO20" s="12"/>
      <c r="BP20" s="4"/>
      <c r="BQ20" s="4">
        <f>IF($F$20&gt;110,BQ11,0)</f>
        <v>1500</v>
      </c>
      <c r="BR20" s="12"/>
      <c r="CG20" s="163"/>
    </row>
    <row r="21" spans="1:87" ht="36.75" customHeight="1" x14ac:dyDescent="0.35">
      <c r="B21" s="364" t="str">
        <f>IF(OR(F16&gt;=12,AND($BD$17&lt;&gt;6,K20=6)),"One or more values input are outside the expected range.  Please check values.","")</f>
        <v/>
      </c>
      <c r="H21" s="262"/>
      <c r="I21" s="262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AD21" s="262"/>
      <c r="AE21" s="262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353"/>
      <c r="AU21" s="73"/>
      <c r="AV21" s="73"/>
      <c r="AW21" s="137" t="s">
        <v>4</v>
      </c>
      <c r="AX21" s="133">
        <f>SUM(AX13:AX20)</f>
        <v>1500</v>
      </c>
      <c r="AY21" s="133">
        <f>SUM(AY13:AY20)</f>
        <v>12</v>
      </c>
      <c r="AZ21" s="133">
        <f>SUM(AZ13:AZ20)</f>
        <v>500</v>
      </c>
      <c r="BB21" s="195"/>
      <c r="BC21" s="201"/>
      <c r="BD21" s="119"/>
      <c r="BE21" s="120"/>
      <c r="BF21" s="121"/>
      <c r="BG21" s="121"/>
      <c r="BH21" s="121"/>
      <c r="BI21" s="121"/>
      <c r="BJ21" s="121"/>
      <c r="BK21" s="12"/>
      <c r="BL21" s="12"/>
      <c r="BM21" s="12"/>
      <c r="BN21" s="12"/>
      <c r="BO21" s="12"/>
      <c r="BP21" s="58" t="s">
        <v>29</v>
      </c>
      <c r="BQ21" s="18">
        <f>SUM(BQ13:BQ20)</f>
        <v>1500</v>
      </c>
      <c r="BR21" s="12"/>
    </row>
    <row r="22" spans="1:87" ht="36.75" customHeight="1" x14ac:dyDescent="0.35"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353"/>
      <c r="AU22" s="73"/>
      <c r="AV22" s="73"/>
      <c r="AW22" s="13"/>
      <c r="AX22" s="12"/>
      <c r="AY22" s="12"/>
      <c r="BB22" s="195"/>
      <c r="BC22" s="201"/>
      <c r="BD22" s="119"/>
      <c r="BE22" s="120"/>
      <c r="BF22" s="282" t="s">
        <v>137</v>
      </c>
      <c r="BG22" s="121"/>
      <c r="BH22" s="121"/>
      <c r="BI22" s="121"/>
      <c r="BJ22" s="121"/>
      <c r="BK22" s="12"/>
      <c r="BL22" s="12"/>
      <c r="BM22" s="12"/>
      <c r="BN22" s="12"/>
      <c r="BO22" s="12"/>
      <c r="BP22" s="61" t="s">
        <v>4</v>
      </c>
      <c r="BQ22" s="75">
        <f>IF(BQ21&gt;0,BQ21,BQ13)</f>
        <v>1500</v>
      </c>
      <c r="BR22" s="12"/>
      <c r="BX22" s="290"/>
      <c r="BY22" s="290"/>
      <c r="BZ22" s="290"/>
    </row>
    <row r="23" spans="1:87" ht="36.75" customHeight="1" x14ac:dyDescent="0.4">
      <c r="B23" s="392"/>
      <c r="C23" s="392"/>
      <c r="D23" s="379"/>
      <c r="E23" s="497"/>
      <c r="F23" s="498"/>
      <c r="G23" s="379"/>
      <c r="H23" s="379"/>
      <c r="I23" s="379"/>
      <c r="J23" s="283"/>
      <c r="K23" s="284"/>
      <c r="L23" s="284"/>
      <c r="M23" s="379"/>
      <c r="N23" s="532"/>
      <c r="O23" s="532"/>
      <c r="P23" s="532"/>
      <c r="Q23" s="532"/>
      <c r="R23" s="379"/>
      <c r="S23" s="532"/>
      <c r="T23" s="532"/>
      <c r="U23" s="383"/>
      <c r="V23" s="383"/>
      <c r="W23" s="383"/>
      <c r="X23" s="392"/>
      <c r="Y23" s="392"/>
      <c r="Z23" s="379"/>
      <c r="AA23" s="379"/>
      <c r="AB23" s="393"/>
      <c r="AC23" s="379"/>
      <c r="AD23" s="379"/>
      <c r="AE23" s="379"/>
      <c r="AF23" s="352"/>
      <c r="AG23" s="357"/>
      <c r="AH23" s="357"/>
      <c r="AI23" s="379"/>
      <c r="AJ23" s="382"/>
      <c r="AK23" s="382"/>
      <c r="AL23" s="382"/>
      <c r="AM23" s="382"/>
      <c r="AN23" s="379"/>
      <c r="AO23" s="382"/>
      <c r="AP23" s="382"/>
      <c r="AQ23" s="383"/>
      <c r="AR23" s="383"/>
      <c r="AS23" s="383"/>
      <c r="AT23" s="353"/>
      <c r="AU23" s="73"/>
      <c r="AV23" s="73"/>
      <c r="AW23" s="529" t="s">
        <v>138</v>
      </c>
      <c r="AX23" s="530"/>
      <c r="AY23" s="530"/>
      <c r="AZ23" s="530"/>
      <c r="BA23" s="90"/>
      <c r="BB23" s="91"/>
      <c r="BC23" s="202"/>
      <c r="BD23" s="121"/>
      <c r="BE23" s="121"/>
      <c r="BF23" s="212" t="s">
        <v>133</v>
      </c>
      <c r="BG23" s="20" t="s">
        <v>4</v>
      </c>
      <c r="BH23" s="20" t="s">
        <v>113</v>
      </c>
      <c r="BI23" s="212" t="s">
        <v>5</v>
      </c>
      <c r="BJ23" s="20" t="s">
        <v>112</v>
      </c>
      <c r="BK23" s="12"/>
      <c r="BL23" s="12"/>
      <c r="BM23" s="12"/>
      <c r="BN23" s="12"/>
      <c r="BO23" s="12"/>
      <c r="BP23" s="12"/>
      <c r="BQ23" s="12"/>
      <c r="CA23" s="168"/>
      <c r="CB23" s="169"/>
      <c r="CC23" s="170"/>
      <c r="CD23" s="170"/>
      <c r="CE23" s="169"/>
      <c r="CF23" s="169"/>
      <c r="CG23" s="449"/>
      <c r="CH23" s="449"/>
      <c r="CI23" s="124"/>
    </row>
    <row r="24" spans="1:87" ht="36.75" customHeight="1" x14ac:dyDescent="0.4">
      <c r="B24" s="376"/>
      <c r="C24" s="376"/>
      <c r="D24" s="377"/>
      <c r="E24" s="514"/>
      <c r="F24" s="515"/>
      <c r="G24" s="379"/>
      <c r="H24" s="379"/>
      <c r="I24" s="379"/>
      <c r="J24" s="283"/>
      <c r="K24" s="284"/>
      <c r="L24" s="284"/>
      <c r="M24" s="380"/>
      <c r="N24" s="531"/>
      <c r="O24" s="531"/>
      <c r="P24" s="531"/>
      <c r="Q24" s="531"/>
      <c r="R24" s="379"/>
      <c r="S24" s="532"/>
      <c r="T24" s="532"/>
      <c r="U24" s="383"/>
      <c r="V24" s="383"/>
      <c r="W24" s="383"/>
      <c r="X24" s="376"/>
      <c r="Y24" s="376"/>
      <c r="Z24" s="377"/>
      <c r="AA24" s="377"/>
      <c r="AB24" s="378"/>
      <c r="AC24" s="379"/>
      <c r="AD24" s="379"/>
      <c r="AE24" s="379"/>
      <c r="AF24" s="352"/>
      <c r="AG24" s="357"/>
      <c r="AH24" s="357"/>
      <c r="AI24" s="380"/>
      <c r="AJ24" s="381"/>
      <c r="AK24" s="381"/>
      <c r="AL24" s="381"/>
      <c r="AM24" s="381"/>
      <c r="AN24" s="379"/>
      <c r="AO24" s="382"/>
      <c r="AP24" s="382"/>
      <c r="AQ24" s="383"/>
      <c r="AR24" s="383"/>
      <c r="AS24" s="383"/>
      <c r="AT24" s="353"/>
      <c r="AU24" s="73"/>
      <c r="AV24" s="73"/>
      <c r="AW24" s="73"/>
      <c r="AX24" s="138" t="s">
        <v>85</v>
      </c>
      <c r="AY24" s="139" t="str">
        <f>IF(F$17&lt;40,"750 mg in 250 ml over 1.5 hours : 166ml/hr",(IF(AND(F$17&gt;=40,F$17&lt;60),"1000 mg in 250 ml over 2 hours : 125ml/hr",(IF(AND(F$17&gt;=60,F$17&lt;=90),"1500 mg in 500 ml over 3 hours : 166ml/hr","2000 mg in 500 ml over 4 hours : 125ml/hr")))))</f>
        <v>750 mg in 250 ml over 1.5 hours : 166ml/hr</v>
      </c>
      <c r="AZ24" s="90"/>
      <c r="BA24" s="90"/>
      <c r="BB24" s="526"/>
      <c r="BC24" s="527"/>
      <c r="BF24" s="280">
        <v>250</v>
      </c>
      <c r="BG24" s="281">
        <v>500</v>
      </c>
      <c r="BH24" s="280">
        <v>1</v>
      </c>
      <c r="BI24" s="280">
        <v>48</v>
      </c>
      <c r="BJ24" s="280">
        <v>250</v>
      </c>
      <c r="BK24" s="12" t="str">
        <f t="shared" ref="BK24:BK34" si="2">IF(AND($AV$14=BG24,$AV$16=BH24,$AV$18=BI24),BJ24,"")</f>
        <v/>
      </c>
      <c r="BL24" s="12"/>
      <c r="BM24" s="12"/>
      <c r="BN24" s="12"/>
      <c r="BO24" s="12"/>
      <c r="BP24" s="12"/>
      <c r="BQ24" s="12"/>
      <c r="CA24" s="172"/>
      <c r="CC24" s="171"/>
      <c r="CD24" s="170"/>
      <c r="CE24" s="172"/>
      <c r="CF24" s="169"/>
      <c r="CG24" s="449"/>
      <c r="CH24" s="449"/>
      <c r="CI24" s="124"/>
    </row>
    <row r="25" spans="1:87" ht="36.75" customHeight="1" x14ac:dyDescent="0.35">
      <c r="B25" s="376"/>
      <c r="C25" s="376"/>
      <c r="D25" s="377"/>
      <c r="E25" s="514"/>
      <c r="F25" s="515"/>
      <c r="G25" s="379"/>
      <c r="H25" s="379"/>
      <c r="I25" s="379"/>
      <c r="J25" s="283"/>
      <c r="K25" s="284"/>
      <c r="L25" s="284"/>
      <c r="M25" s="380"/>
      <c r="N25" s="531"/>
      <c r="O25" s="531"/>
      <c r="P25" s="531"/>
      <c r="Q25" s="531"/>
      <c r="R25" s="379"/>
      <c r="S25" s="532"/>
      <c r="T25" s="532"/>
      <c r="U25" s="383"/>
      <c r="V25" s="383"/>
      <c r="W25" s="383"/>
      <c r="X25" s="376"/>
      <c r="Y25" s="376"/>
      <c r="Z25" s="377"/>
      <c r="AA25" s="377"/>
      <c r="AB25" s="378"/>
      <c r="AC25" s="379"/>
      <c r="AD25" s="379"/>
      <c r="AE25" s="379"/>
      <c r="AF25" s="352"/>
      <c r="AG25" s="357"/>
      <c r="AH25" s="357"/>
      <c r="AI25" s="380"/>
      <c r="AJ25" s="381"/>
      <c r="AK25" s="381"/>
      <c r="AL25" s="381"/>
      <c r="AM25" s="381"/>
      <c r="AN25" s="379"/>
      <c r="AO25" s="382"/>
      <c r="AP25" s="382"/>
      <c r="AQ25" s="383"/>
      <c r="AR25" s="383"/>
      <c r="AS25" s="383"/>
      <c r="AT25" s="353"/>
      <c r="AU25" s="73"/>
      <c r="AV25" s="73"/>
      <c r="AW25" s="12"/>
      <c r="AX25" s="90"/>
      <c r="AY25" s="91"/>
      <c r="AZ25" s="90"/>
      <c r="BA25" s="90"/>
      <c r="BB25" s="528"/>
      <c r="BC25" s="527"/>
      <c r="BD25" s="121"/>
      <c r="BE25" s="121"/>
      <c r="BF25" s="278">
        <v>250</v>
      </c>
      <c r="BG25" s="213">
        <v>500</v>
      </c>
      <c r="BH25" s="20">
        <v>1</v>
      </c>
      <c r="BI25" s="20">
        <v>24</v>
      </c>
      <c r="BJ25" s="20">
        <v>250</v>
      </c>
      <c r="BK25" s="12" t="str">
        <f t="shared" si="2"/>
        <v/>
      </c>
      <c r="BL25" s="12"/>
      <c r="BM25" s="12"/>
      <c r="BN25" s="12"/>
      <c r="BP25" s="12"/>
      <c r="BQ25" s="12"/>
    </row>
    <row r="26" spans="1:87" ht="36.75" customHeight="1" x14ac:dyDescent="0.4">
      <c r="B26" s="376"/>
      <c r="C26" s="376"/>
      <c r="D26" s="377"/>
      <c r="E26" s="514"/>
      <c r="F26" s="515"/>
      <c r="G26" s="379"/>
      <c r="H26" s="379"/>
      <c r="I26" s="379"/>
      <c r="J26" s="283"/>
      <c r="K26" s="284"/>
      <c r="L26" s="284"/>
      <c r="M26" s="380"/>
      <c r="N26" s="531"/>
      <c r="O26" s="531"/>
      <c r="P26" s="531"/>
      <c r="Q26" s="531"/>
      <c r="R26" s="379"/>
      <c r="S26" s="532"/>
      <c r="T26" s="532"/>
      <c r="U26" s="383"/>
      <c r="V26" s="383"/>
      <c r="W26" s="383"/>
      <c r="X26" s="376"/>
      <c r="Y26" s="376"/>
      <c r="Z26" s="377"/>
      <c r="AA26" s="377"/>
      <c r="AB26" s="378"/>
      <c r="AC26" s="379"/>
      <c r="AD26" s="379"/>
      <c r="AE26" s="379"/>
      <c r="AF26" s="352"/>
      <c r="AG26" s="357"/>
      <c r="AH26" s="357"/>
      <c r="AI26" s="380"/>
      <c r="AJ26" s="381"/>
      <c r="AK26" s="381"/>
      <c r="AL26" s="381"/>
      <c r="AM26" s="381"/>
      <c r="AN26" s="379"/>
      <c r="AO26" s="382"/>
      <c r="AP26" s="382"/>
      <c r="AQ26" s="383"/>
      <c r="AR26" s="383"/>
      <c r="AS26" s="383"/>
      <c r="AT26" s="353"/>
      <c r="AU26" s="73"/>
      <c r="AV26" s="73"/>
      <c r="AX26" s="90"/>
      <c r="AY26" s="90"/>
      <c r="AZ26" s="90"/>
      <c r="BA26" s="90"/>
      <c r="BB26" s="528"/>
      <c r="BC26" s="527"/>
      <c r="BD26" s="121"/>
      <c r="BE26" s="121"/>
      <c r="BF26" s="279">
        <v>250</v>
      </c>
      <c r="BG26" s="214">
        <v>750</v>
      </c>
      <c r="BH26" s="20">
        <v>1.5</v>
      </c>
      <c r="BI26" s="20">
        <v>24</v>
      </c>
      <c r="BJ26" s="20">
        <v>166</v>
      </c>
      <c r="BK26" s="12" t="str">
        <f t="shared" si="2"/>
        <v/>
      </c>
      <c r="BL26" s="12"/>
      <c r="BM26" s="12"/>
      <c r="BN26" s="12"/>
      <c r="BO26" s="10" t="s">
        <v>119</v>
      </c>
      <c r="BP26" s="12"/>
      <c r="BQ26" s="12"/>
      <c r="BU26" s="236" t="s">
        <v>121</v>
      </c>
      <c r="BV26" s="236" t="s">
        <v>122</v>
      </c>
      <c r="BW26" s="236" t="s">
        <v>123</v>
      </c>
      <c r="CA26" s="176"/>
      <c r="CB26" s="177"/>
      <c r="CC26" s="176"/>
      <c r="CD26" s="177"/>
      <c r="CE26" s="176"/>
      <c r="CF26" s="177"/>
      <c r="CG26" s="176"/>
      <c r="CH26" s="177"/>
    </row>
    <row r="27" spans="1:87" ht="36.75" customHeight="1" x14ac:dyDescent="0.4">
      <c r="B27" s="376"/>
      <c r="C27" s="376"/>
      <c r="D27" s="377"/>
      <c r="E27" s="514"/>
      <c r="F27" s="515"/>
      <c r="G27" s="379"/>
      <c r="H27" s="379"/>
      <c r="I27" s="379"/>
      <c r="J27" s="283"/>
      <c r="K27" s="284"/>
      <c r="L27" s="284"/>
      <c r="M27" s="380"/>
      <c r="N27" s="531"/>
      <c r="O27" s="531"/>
      <c r="P27" s="531"/>
      <c r="Q27" s="531"/>
      <c r="R27" s="379"/>
      <c r="S27" s="532"/>
      <c r="T27" s="532"/>
      <c r="U27" s="383"/>
      <c r="V27" s="383"/>
      <c r="W27" s="383"/>
      <c r="X27" s="376"/>
      <c r="Y27" s="376"/>
      <c r="Z27" s="377"/>
      <c r="AA27" s="377"/>
      <c r="AB27" s="378"/>
      <c r="AC27" s="379"/>
      <c r="AD27" s="379"/>
      <c r="AE27" s="379"/>
      <c r="AF27" s="352"/>
      <c r="AG27" s="357"/>
      <c r="AH27" s="357"/>
      <c r="AI27" s="380"/>
      <c r="AJ27" s="381"/>
      <c r="AK27" s="381"/>
      <c r="AL27" s="381"/>
      <c r="AM27" s="381"/>
      <c r="AN27" s="379"/>
      <c r="AO27" s="382"/>
      <c r="AP27" s="382"/>
      <c r="AQ27" s="383"/>
      <c r="AR27" s="383"/>
      <c r="AS27" s="383"/>
      <c r="AT27" s="353"/>
      <c r="AU27" s="73"/>
      <c r="AV27" s="73"/>
      <c r="AW27" s="12"/>
      <c r="AX27" s="90"/>
      <c r="AY27" s="90"/>
      <c r="AZ27" s="90"/>
      <c r="BA27" s="90"/>
      <c r="BB27" s="528"/>
      <c r="BC27" s="527"/>
      <c r="BD27" s="121"/>
      <c r="BE27" s="121"/>
      <c r="BF27" s="279">
        <v>250</v>
      </c>
      <c r="BG27" s="214">
        <v>500</v>
      </c>
      <c r="BH27" s="20">
        <v>1</v>
      </c>
      <c r="BI27" s="20">
        <v>12</v>
      </c>
      <c r="BJ27" s="20">
        <v>250</v>
      </c>
      <c r="BK27" s="12" t="str">
        <f t="shared" si="2"/>
        <v/>
      </c>
      <c r="BL27" s="12"/>
      <c r="BM27" s="12"/>
      <c r="BN27" s="12"/>
      <c r="BO27" s="237">
        <f ca="1">U6</f>
        <v>46066.56617002315</v>
      </c>
      <c r="BP27" s="234" t="str">
        <f ca="1">TEXT(BO27,"hh:mm:ss")</f>
        <v>13:35:17</v>
      </c>
      <c r="BQ27" s="238" t="str">
        <f>AV18</f>
        <v/>
      </c>
      <c r="BR27" s="235"/>
      <c r="BS27" s="239">
        <v>0.41666666666666669</v>
      </c>
      <c r="BT27" s="239">
        <v>0.66666666666666663</v>
      </c>
      <c r="BU27" s="238" t="str">
        <f ca="1">CONCATENATE("at 10pm on ",TEXT(BX27,"dd/mm/yyyy"),","," then every 12 hours")</f>
        <v>at 10pm on 13/02/2026, then every 12 hours</v>
      </c>
      <c r="BV27" s="238" t="str">
        <f ca="1">CONCATENATE("at 10am on ",TEXT(BY27,"dd/mm/yyyy"),","," then every 24 hours")</f>
        <v>at 10am on 14/02/2026, then every 24 hours</v>
      </c>
      <c r="BW27" s="238" t="str">
        <f ca="1">CONCATENATE("at 10am on ",TEXT(BZ27,"dd/mm/yyyy"),","," then every 48 hours")</f>
        <v>at 10am on 15/02/2026, then every 48 hours</v>
      </c>
      <c r="BX27" s="290">
        <f ca="1">NOW()</f>
        <v>46066.56617002315</v>
      </c>
      <c r="BY27" s="290">
        <f ca="1">BX27+1</f>
        <v>46067.56617002315</v>
      </c>
      <c r="BZ27" s="290">
        <f t="shared" ref="BZ27:BZ31" ca="1" si="3">BX27+2</f>
        <v>46068.56617002315</v>
      </c>
      <c r="CA27" s="292">
        <f ca="1">NOW()</f>
        <v>46066.56617002315</v>
      </c>
      <c r="CB27" s="177"/>
      <c r="CC27" s="176"/>
      <c r="CD27" s="177"/>
      <c r="CE27" s="176"/>
      <c r="CF27" s="177"/>
      <c r="CG27" s="177"/>
      <c r="CH27" s="177"/>
    </row>
    <row r="28" spans="1:87" ht="36.75" customHeight="1" x14ac:dyDescent="0.35">
      <c r="B28" s="376"/>
      <c r="C28" s="376"/>
      <c r="D28" s="377"/>
      <c r="E28" s="514"/>
      <c r="F28" s="515"/>
      <c r="G28" s="379"/>
      <c r="H28" s="379"/>
      <c r="I28" s="379"/>
      <c r="J28" s="283"/>
      <c r="K28" s="284"/>
      <c r="L28" s="284"/>
      <c r="M28" s="380"/>
      <c r="N28" s="531"/>
      <c r="O28" s="531"/>
      <c r="P28" s="531"/>
      <c r="Q28" s="531"/>
      <c r="R28" s="379"/>
      <c r="S28" s="532"/>
      <c r="T28" s="532"/>
      <c r="U28" s="383"/>
      <c r="V28" s="383"/>
      <c r="W28" s="383"/>
      <c r="X28" s="376"/>
      <c r="Y28" s="376"/>
      <c r="Z28" s="377"/>
      <c r="AA28" s="377"/>
      <c r="AB28" s="378"/>
      <c r="AC28" s="379"/>
      <c r="AD28" s="379"/>
      <c r="AE28" s="379"/>
      <c r="AF28" s="352"/>
      <c r="AG28" s="357"/>
      <c r="AH28" s="357"/>
      <c r="AI28" s="380"/>
      <c r="AJ28" s="381"/>
      <c r="AK28" s="381"/>
      <c r="AL28" s="381"/>
      <c r="AM28" s="381"/>
      <c r="AN28" s="379"/>
      <c r="AO28" s="382"/>
      <c r="AP28" s="382"/>
      <c r="AQ28" s="383"/>
      <c r="AR28" s="383"/>
      <c r="AS28" s="383"/>
      <c r="AT28" s="353"/>
      <c r="AU28" s="74"/>
      <c r="AV28" s="74"/>
      <c r="AW28" s="12"/>
      <c r="AX28" s="90"/>
      <c r="AY28" s="90"/>
      <c r="AZ28" s="90"/>
      <c r="BA28" s="90"/>
      <c r="BB28" s="90"/>
      <c r="BC28" s="90"/>
      <c r="BD28" s="121"/>
      <c r="BE28" s="121"/>
      <c r="BF28" s="279">
        <v>250</v>
      </c>
      <c r="BG28" s="214">
        <v>750</v>
      </c>
      <c r="BH28" s="20">
        <v>1.5</v>
      </c>
      <c r="BI28" s="20">
        <v>12</v>
      </c>
      <c r="BJ28" s="20">
        <v>166</v>
      </c>
      <c r="BK28" s="12" t="str">
        <f t="shared" si="2"/>
        <v/>
      </c>
      <c r="BL28" s="12"/>
      <c r="BM28" s="12"/>
      <c r="BN28" s="12"/>
      <c r="BO28" s="234" t="str">
        <f ca="1">IF(AND(BP27&gt;="10:00:00",BP27&lt;"16:00:00",BQ27=12),BU27,(IF(AND(BP27&gt;="16:00:00",BP27&lt;"22:00:00",BQ27=12),BU28,(IF(AND(BP27&gt;="22:00:00",BP27&lt;"24:00:00",BQ27=12),BU29,(IF(AND(BP27&gt;="00:00:00",BP27&lt;"04:00:00",BQ27=12),BU30,(IF(AND(BP27&gt;="04:00:00",BP27&lt;"10:00:00",BQ27=12),BU31,(IF(AND(BP27&gt;="10:00:00",BP27&lt;"16:00:00",BQ27=24),BV27,(IF(AND(BP27&gt;="16:00:00",BP27&lt;"22:00:00",BQ27=24),BV28,(IF(AND(BP27&gt;="22:00:00",BP27&lt;"24:00:00",BQ27=24),BV29,(IF(AND(BP27&gt;="00:00:00",BP27&lt;"04:00:00",BQ27=24),BV30,(IF(AND(BP27&gt;="04:00:00",BP27&lt;"10:00:00",BQ27=24),BV31,IF(AND(BP27&gt;="10:00:00",BP27&lt;"16:00:00",BQ27=48),BW27,(IF(AND(BP27&gt;="16:00:00",BP27&lt;"22:00:00",BQ27=48),BW28,(IF(AND(BP27&gt;="22:00:00",BP27&lt;"24:00:00",BQ27=48),BW29,(IF(AND(BP27&gt;="00:00:00",BP27&lt;"04:00:00",BQ27=48),BW30,(IF(AND(BP27&gt;="04:00:00",BP27&lt;"10:00:00",BQ27=48),BW31,""))))))))))))))))))))))))))))</f>
        <v/>
      </c>
      <c r="BP28" s="234"/>
      <c r="BQ28" s="234"/>
      <c r="BR28" s="235"/>
      <c r="BS28" s="239">
        <v>0.66666666666666663</v>
      </c>
      <c r="BT28" s="239">
        <v>0.91666666666666663</v>
      </c>
      <c r="BU28" s="238" t="str">
        <f ca="1">CONCATENATE("at 6am on ",TEXT(BY28,"dd/mm/yyyy"),","," then every 12 hours")</f>
        <v>at 6am on 14/02/2026, then every 12 hours</v>
      </c>
      <c r="BV28" s="238" t="str">
        <f ca="1">CONCATENATE("at 6pm on ",TEXT(BY28,"dd/mm/yyyy"),","," then every 24 hours")</f>
        <v>at 6pm on 14/02/2026, then every 24 hours</v>
      </c>
      <c r="BW28" s="238" t="str">
        <f ca="1">CONCATENATE("at 6pm on ",TEXT(BZ28,"dd/mm/yyyy"),","," then every 48 hours")</f>
        <v>at 6pm on 15/02/2026, then every 48 hours</v>
      </c>
      <c r="BX28" s="290">
        <f t="shared" ref="BX28:BX31" ca="1" si="4">NOW()</f>
        <v>46066.56617002315</v>
      </c>
      <c r="BY28" s="290">
        <f ca="1">BX28+1</f>
        <v>46067.56617002315</v>
      </c>
      <c r="BZ28" s="290">
        <f t="shared" ca="1" si="3"/>
        <v>46068.56617002315</v>
      </c>
      <c r="CA28" s="292">
        <f t="shared" ref="CA28:CA31" ca="1" si="5">NOW()</f>
        <v>46066.56617002315</v>
      </c>
      <c r="CB28" s="177"/>
      <c r="CC28" s="177"/>
      <c r="CD28" s="177"/>
      <c r="CE28" s="177"/>
      <c r="CF28" s="177"/>
      <c r="CG28" s="177"/>
      <c r="CH28" s="177"/>
    </row>
    <row r="29" spans="1:87" ht="36.75" customHeight="1" x14ac:dyDescent="0.35">
      <c r="B29" s="376"/>
      <c r="C29" s="376"/>
      <c r="D29" s="377"/>
      <c r="E29" s="514"/>
      <c r="F29" s="515"/>
      <c r="G29" s="379"/>
      <c r="H29" s="379"/>
      <c r="I29" s="379"/>
      <c r="J29" s="283"/>
      <c r="K29" s="284"/>
      <c r="L29" s="284"/>
      <c r="M29" s="380"/>
      <c r="N29" s="531"/>
      <c r="O29" s="531"/>
      <c r="P29" s="531"/>
      <c r="Q29" s="531"/>
      <c r="R29" s="379"/>
      <c r="S29" s="532"/>
      <c r="T29" s="532"/>
      <c r="U29" s="383"/>
      <c r="V29" s="383"/>
      <c r="W29" s="383"/>
      <c r="X29" s="376"/>
      <c r="Y29" s="376"/>
      <c r="Z29" s="377"/>
      <c r="AA29" s="377"/>
      <c r="AB29" s="378"/>
      <c r="AC29" s="379"/>
      <c r="AD29" s="379"/>
      <c r="AE29" s="379"/>
      <c r="AF29" s="352"/>
      <c r="AG29" s="357"/>
      <c r="AH29" s="357"/>
      <c r="AI29" s="380"/>
      <c r="AJ29" s="381"/>
      <c r="AK29" s="381"/>
      <c r="AL29" s="381"/>
      <c r="AM29" s="381"/>
      <c r="AN29" s="379"/>
      <c r="AO29" s="382"/>
      <c r="AP29" s="382"/>
      <c r="AQ29" s="383"/>
      <c r="AR29" s="383"/>
      <c r="AS29" s="383"/>
      <c r="AT29" s="350"/>
      <c r="AU29" s="74"/>
      <c r="AV29" s="74"/>
      <c r="AW29" s="12"/>
      <c r="AX29" s="90"/>
      <c r="AY29" s="90"/>
      <c r="AZ29" s="90"/>
      <c r="BA29" s="90"/>
      <c r="BB29" s="90"/>
      <c r="BC29" s="90"/>
      <c r="BD29" s="121"/>
      <c r="BE29" s="121"/>
      <c r="BF29" s="279">
        <v>250</v>
      </c>
      <c r="BG29" s="214">
        <v>1000</v>
      </c>
      <c r="BH29" s="20">
        <v>2</v>
      </c>
      <c r="BI29" s="20">
        <v>12</v>
      </c>
      <c r="BJ29" s="20">
        <v>125</v>
      </c>
      <c r="BK29" s="12" t="str">
        <f t="shared" si="2"/>
        <v/>
      </c>
      <c r="BL29" s="12"/>
      <c r="BM29" s="12"/>
      <c r="BN29" s="12"/>
      <c r="BO29" s="12"/>
      <c r="BP29" s="12"/>
      <c r="BQ29" s="12"/>
      <c r="BR29" s="186"/>
      <c r="BS29" s="239">
        <v>0.91666666666666663</v>
      </c>
      <c r="BT29" s="239">
        <v>1</v>
      </c>
      <c r="BU29" s="238" t="str">
        <f ca="1">CONCATENATE("at 10am on ",TEXT(BY29,"dd/mm/yyyy"),","," then every 12 hours")</f>
        <v>at 10am on 14/02/2026, then every 12 hours</v>
      </c>
      <c r="BV29" s="238" t="str">
        <f ca="1">CONCATENATE("at 10pm on ",TEXT(BY29,"dd/mm/yyyy"),","," then every 24 hours")</f>
        <v>at 10pm on 14/02/2026, then every 24 hours</v>
      </c>
      <c r="BW29" s="238" t="str">
        <f ca="1">CONCATENATE("at 10pm on ",TEXT(BZ29,"dd/mm/yyyy"),","," then every 48 hours")</f>
        <v>at 10pm on 15/02/2026, then every 48 hours</v>
      </c>
      <c r="BX29" s="290">
        <f t="shared" ca="1" si="4"/>
        <v>46066.56617002315</v>
      </c>
      <c r="BY29" s="290">
        <f ca="1">BX29+1</f>
        <v>46067.56617002315</v>
      </c>
      <c r="BZ29" s="290">
        <f ca="1">BX29+2</f>
        <v>46068.56617002315</v>
      </c>
      <c r="CA29" s="292">
        <f t="shared" ca="1" si="5"/>
        <v>46066.56617002315</v>
      </c>
      <c r="CB29" s="291"/>
      <c r="CC29" s="177"/>
      <c r="CD29" s="177"/>
      <c r="CE29" s="177"/>
      <c r="CF29" s="177"/>
      <c r="CG29" s="177"/>
      <c r="CH29" s="177"/>
    </row>
    <row r="30" spans="1:87" ht="30" customHeight="1" x14ac:dyDescent="0.4">
      <c r="B30" s="376"/>
      <c r="C30" s="376"/>
      <c r="D30" s="377"/>
      <c r="E30" s="514"/>
      <c r="F30" s="515"/>
      <c r="G30" s="379"/>
      <c r="H30" s="379"/>
      <c r="I30" s="379"/>
      <c r="J30" s="283"/>
      <c r="K30" s="284"/>
      <c r="L30" s="284"/>
      <c r="M30" s="380"/>
      <c r="N30" s="531"/>
      <c r="O30" s="531"/>
      <c r="P30" s="531"/>
      <c r="Q30" s="531"/>
      <c r="R30" s="379"/>
      <c r="S30" s="532"/>
      <c r="T30" s="532"/>
      <c r="U30" s="383"/>
      <c r="V30" s="383"/>
      <c r="W30" s="383"/>
      <c r="X30" s="376"/>
      <c r="Y30" s="376"/>
      <c r="Z30" s="377"/>
      <c r="AA30" s="377"/>
      <c r="AB30" s="378"/>
      <c r="AC30" s="379"/>
      <c r="AD30" s="379"/>
      <c r="AE30" s="379"/>
      <c r="AF30" s="352"/>
      <c r="AG30" s="357"/>
      <c r="AH30" s="357"/>
      <c r="AI30" s="380"/>
      <c r="AJ30" s="381"/>
      <c r="AK30" s="381"/>
      <c r="AL30" s="381"/>
      <c r="AM30" s="381"/>
      <c r="AN30" s="379"/>
      <c r="AO30" s="382"/>
      <c r="AP30" s="382"/>
      <c r="AQ30" s="383"/>
      <c r="AR30" s="383"/>
      <c r="AS30" s="383"/>
      <c r="AT30" s="350"/>
      <c r="AU30" s="13"/>
      <c r="AV30" s="58" t="s">
        <v>82</v>
      </c>
      <c r="AW30" s="140" t="s">
        <v>82</v>
      </c>
      <c r="AX30" s="144">
        <f>IF(AND(BD17=6,F16&lt;12),(AX$34*(140-$F$13)*$AX$43/$AX$35),0)</f>
        <v>0</v>
      </c>
      <c r="AY30" s="145"/>
      <c r="AZ30" s="151">
        <f>IF(AV14="",0,AV14)</f>
        <v>0</v>
      </c>
      <c r="BA30" s="59"/>
      <c r="BB30" s="90"/>
      <c r="BC30" s="90"/>
      <c r="BD30" s="12"/>
      <c r="BE30" s="12"/>
      <c r="BF30" s="279">
        <v>250</v>
      </c>
      <c r="BG30" s="214">
        <v>1250</v>
      </c>
      <c r="BH30" s="20">
        <v>2.5</v>
      </c>
      <c r="BI30" s="20">
        <v>12</v>
      </c>
      <c r="BJ30" s="20">
        <v>100</v>
      </c>
      <c r="BK30" s="12" t="str">
        <f t="shared" si="2"/>
        <v/>
      </c>
      <c r="BL30" s="12"/>
      <c r="BM30" s="12"/>
      <c r="BN30" s="12"/>
      <c r="BO30" s="12"/>
      <c r="BP30" s="12"/>
      <c r="BQ30" s="12"/>
      <c r="BS30" s="239">
        <v>0</v>
      </c>
      <c r="BT30" s="239">
        <v>0.16666666666666666</v>
      </c>
      <c r="BU30" s="238" t="str">
        <f ca="1">CONCATENATE("at 10am on ",TEXT(BX30,"dd/mm/yyyy"),","," then every 12 hours")</f>
        <v>at 10am on 13/02/2026, then every 12 hours</v>
      </c>
      <c r="BV30" s="238" t="str">
        <f ca="1">CONCATENATE("at 10pm on ",TEXT(BX30,"dd/mm/yyyy"),","," then every 24 hours")</f>
        <v>at 10pm on 13/02/2026, then every 24 hours</v>
      </c>
      <c r="BW30" s="238" t="str">
        <f ca="1">CONCATENATE("at 10pm on ",TEXT(BY30,"dd/mm/yyyy"),","," then every 48 hours")</f>
        <v>at 10pm on 14/02/2026, then every 48 hours</v>
      </c>
      <c r="BX30" s="290">
        <f t="shared" ca="1" si="4"/>
        <v>46066.56617002315</v>
      </c>
      <c r="BY30" s="290">
        <f ca="1">BX30+1</f>
        <v>46067.56617002315</v>
      </c>
      <c r="BZ30" s="290">
        <f ca="1">BX30+2</f>
        <v>46068.56617002315</v>
      </c>
      <c r="CA30" s="292">
        <f t="shared" ca="1" si="5"/>
        <v>46066.56617002315</v>
      </c>
      <c r="CB30" s="177"/>
      <c r="CC30" s="176"/>
      <c r="CD30" s="177"/>
      <c r="CE30" s="176"/>
      <c r="CF30" s="177"/>
      <c r="CG30" s="176"/>
      <c r="CH30" s="177"/>
    </row>
    <row r="31" spans="1:87" ht="30" customHeight="1" x14ac:dyDescent="0.35">
      <c r="A31" s="300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0"/>
      <c r="AU31" s="13"/>
      <c r="AV31" s="58" t="s">
        <v>84</v>
      </c>
      <c r="AW31" s="141" t="s">
        <v>84</v>
      </c>
      <c r="AX31" s="146">
        <f>IF(F$14&gt;0,F$14,(F$15*12+F$16)*2.54)</f>
        <v>0</v>
      </c>
      <c r="AY31" s="147"/>
      <c r="AZ31" s="139">
        <f>AZ30/500</f>
        <v>0</v>
      </c>
      <c r="BA31" s="1"/>
      <c r="BB31" s="90"/>
      <c r="BC31" s="90"/>
      <c r="BD31" s="12"/>
      <c r="BE31" s="12"/>
      <c r="BF31" s="20">
        <v>500</v>
      </c>
      <c r="BG31" s="214">
        <v>1500</v>
      </c>
      <c r="BH31" s="20">
        <v>3</v>
      </c>
      <c r="BI31" s="20">
        <v>12</v>
      </c>
      <c r="BJ31" s="20">
        <v>166</v>
      </c>
      <c r="BK31" s="12" t="str">
        <f t="shared" si="2"/>
        <v/>
      </c>
      <c r="BL31" s="12"/>
      <c r="BM31" s="12"/>
      <c r="BN31" s="12"/>
      <c r="BO31" s="12"/>
      <c r="BP31" s="12"/>
      <c r="BQ31" s="12"/>
      <c r="BS31" s="239">
        <v>0.16666666666666666</v>
      </c>
      <c r="BT31" s="239">
        <v>0.41666666666666669</v>
      </c>
      <c r="BU31" s="238" t="str">
        <f ca="1">CONCATENATE("at 6pm on ",TEXT(BX31,"dd/mm/yyyy"),","," then every 12 hours")</f>
        <v>at 6pm on 13/02/2026, then every 12 hours</v>
      </c>
      <c r="BV31" s="238" t="str">
        <f ca="1">CONCATENATE("at 6am on ",TEXT(BY31,"dd/mm/yyyy"),","," then every 24 hours")</f>
        <v>at 6am on 14/02/2026, then every 24 hours</v>
      </c>
      <c r="BW31" s="238" t="str">
        <f ca="1">CONCATENATE("at 6am on ",TEXT(BZ31,"dd/mm/yyyy"),","," then every 48 hours")</f>
        <v>at 6am on 15/02/2026, then every 48 hours</v>
      </c>
      <c r="BX31" s="290">
        <f t="shared" ca="1" si="4"/>
        <v>46066.56617002315</v>
      </c>
      <c r="BY31" s="290">
        <f ca="1">BX31+1</f>
        <v>46067.56617002315</v>
      </c>
      <c r="BZ31" s="290">
        <f t="shared" ca="1" si="3"/>
        <v>46068.56617002315</v>
      </c>
      <c r="CA31" s="292">
        <f t="shared" ca="1" si="5"/>
        <v>46066.56617002315</v>
      </c>
      <c r="CB31" s="177"/>
      <c r="CC31" s="177"/>
      <c r="CD31" s="177"/>
      <c r="CE31" s="177"/>
      <c r="CF31" s="177"/>
      <c r="CG31" s="177"/>
      <c r="CH31" s="177"/>
    </row>
    <row r="32" spans="1:87" ht="20.25" customHeight="1" x14ac:dyDescent="0.35">
      <c r="A32" s="300"/>
      <c r="B32" s="256"/>
      <c r="C32" s="256"/>
      <c r="D32" s="256"/>
      <c r="E32" s="256"/>
      <c r="F32" s="256"/>
      <c r="G32" s="256"/>
      <c r="H32" s="256"/>
      <c r="I32" s="256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6"/>
      <c r="Y32" s="256"/>
      <c r="Z32" s="256"/>
      <c r="AA32" s="256"/>
      <c r="AB32" s="256"/>
      <c r="AC32" s="256"/>
      <c r="AD32" s="256"/>
      <c r="AE32" s="256"/>
      <c r="AF32" s="354"/>
      <c r="AG32" s="354"/>
      <c r="AH32" s="354"/>
      <c r="AI32" s="354"/>
      <c r="AJ32" s="354"/>
      <c r="AK32" s="354"/>
      <c r="AL32" s="354"/>
      <c r="AM32" s="354"/>
      <c r="AN32" s="354"/>
      <c r="AO32" s="354"/>
      <c r="AP32" s="354"/>
      <c r="AQ32" s="354"/>
      <c r="AR32" s="354"/>
      <c r="AS32" s="354"/>
      <c r="AT32" s="250"/>
      <c r="AU32" s="12"/>
      <c r="AV32" s="58" t="s">
        <v>83</v>
      </c>
      <c r="AW32" s="140" t="s">
        <v>83</v>
      </c>
      <c r="AX32" s="148" t="str">
        <f>IF(AX$31&gt;0,(IF(F$18="Male",50+2.3*((AX$40-152.4)/2.54),45.5+2.3*((AX$40-152.4)/2.54))),"Not available")</f>
        <v>Not available</v>
      </c>
      <c r="AY32" s="147"/>
      <c r="AZ32" s="19"/>
      <c r="BA32" s="19"/>
      <c r="BB32" s="90"/>
      <c r="BC32" s="90"/>
      <c r="BD32" s="12"/>
      <c r="BE32" s="12"/>
      <c r="BF32" s="20">
        <v>250</v>
      </c>
      <c r="BG32" s="214">
        <v>1000</v>
      </c>
      <c r="BH32" s="20">
        <v>2</v>
      </c>
      <c r="BI32" s="20">
        <v>8</v>
      </c>
      <c r="BJ32" s="20">
        <v>125</v>
      </c>
      <c r="BK32" s="12" t="str">
        <f t="shared" si="2"/>
        <v/>
      </c>
      <c r="BL32" s="12"/>
      <c r="BM32" s="12"/>
      <c r="BN32" s="12"/>
      <c r="BO32" s="12"/>
      <c r="BP32" s="12"/>
      <c r="BQ32" s="12"/>
      <c r="CA32" s="177"/>
    </row>
    <row r="33" spans="1:92" ht="21" customHeight="1" x14ac:dyDescent="0.35">
      <c r="A33" s="301"/>
      <c r="B33" s="374"/>
      <c r="C33" s="374"/>
      <c r="D33" s="374"/>
      <c r="E33" s="374"/>
      <c r="F33" s="374"/>
      <c r="G33" s="374"/>
      <c r="H33" s="374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374"/>
      <c r="Y33" s="374"/>
      <c r="Z33" s="374"/>
      <c r="AA33" s="374"/>
      <c r="AB33" s="374"/>
      <c r="AC33" s="374"/>
      <c r="AD33" s="374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349"/>
      <c r="AU33" s="183"/>
      <c r="AV33" s="58" t="s">
        <v>86</v>
      </c>
      <c r="AW33" s="142" t="s">
        <v>86</v>
      </c>
      <c r="AX33" s="144" t="str">
        <f>IF(F$17=0,"",IF(AX$40=0,F$17,(IF(F$17&gt;(AX$42+0.2*AX$42),(AX$42+0.2*AX$42),F$17))))</f>
        <v/>
      </c>
      <c r="AY33" s="147"/>
      <c r="AZ33" s="183"/>
      <c r="BA33" s="183"/>
      <c r="BB33" s="183"/>
      <c r="BC33" s="183"/>
      <c r="BD33" s="183"/>
      <c r="BE33" s="12"/>
      <c r="BF33" s="20">
        <v>250</v>
      </c>
      <c r="BG33" s="214">
        <v>1250</v>
      </c>
      <c r="BH33" s="20">
        <v>2.5</v>
      </c>
      <c r="BI33" s="20">
        <v>8</v>
      </c>
      <c r="BJ33" s="20">
        <v>100</v>
      </c>
      <c r="BK33" s="12" t="str">
        <f t="shared" si="2"/>
        <v/>
      </c>
      <c r="BL33" s="12"/>
      <c r="BM33" s="12"/>
      <c r="BN33" s="12"/>
      <c r="BO33" s="12"/>
      <c r="BP33" s="12"/>
      <c r="BQ33" s="12"/>
    </row>
    <row r="34" spans="1:92" ht="21" customHeight="1" x14ac:dyDescent="0.35">
      <c r="A34" s="301"/>
      <c r="B34" s="374"/>
      <c r="C34" s="374"/>
      <c r="D34" s="374"/>
      <c r="E34" s="374"/>
      <c r="F34" s="374"/>
      <c r="G34" s="374"/>
      <c r="H34" s="374"/>
      <c r="I34" s="258"/>
      <c r="J34" s="258"/>
      <c r="K34" s="258"/>
      <c r="L34" s="258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374"/>
      <c r="Y34" s="374"/>
      <c r="Z34" s="374"/>
      <c r="AA34" s="374"/>
      <c r="AB34" s="374"/>
      <c r="AC34" s="374"/>
      <c r="AD34" s="374"/>
      <c r="AE34" s="258"/>
      <c r="AF34" s="258"/>
      <c r="AG34" s="258"/>
      <c r="AH34" s="258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351"/>
      <c r="AU34" s="12"/>
      <c r="AV34" s="58" t="s">
        <v>87</v>
      </c>
      <c r="AW34" s="140" t="s">
        <v>87</v>
      </c>
      <c r="AX34" s="149">
        <f>IF($F$18="Male",1.23,IF($F$18="Female",1.04,0))</f>
        <v>0</v>
      </c>
      <c r="AY34" s="147"/>
      <c r="AZ34" s="13"/>
      <c r="BA34" s="13"/>
      <c r="BB34" s="90"/>
      <c r="BC34" s="90"/>
      <c r="BD34" s="12"/>
      <c r="BE34" s="12"/>
      <c r="BF34" s="20">
        <v>500</v>
      </c>
      <c r="BG34" s="214">
        <v>1500</v>
      </c>
      <c r="BH34" s="20">
        <v>3</v>
      </c>
      <c r="BI34" s="20">
        <v>8</v>
      </c>
      <c r="BJ34" s="20">
        <v>166</v>
      </c>
      <c r="BK34" s="12" t="str">
        <f t="shared" si="2"/>
        <v/>
      </c>
      <c r="BM34" s="12"/>
      <c r="BN34" s="12"/>
      <c r="BO34" s="12"/>
      <c r="BP34" s="12"/>
      <c r="BQ34" s="12"/>
      <c r="BS34" s="239">
        <v>0.41666666666666669</v>
      </c>
      <c r="BT34" s="239">
        <v>0.66666666666666663</v>
      </c>
      <c r="BU34" s="238" t="s">
        <v>126</v>
      </c>
      <c r="BV34" s="238" t="s">
        <v>131</v>
      </c>
      <c r="BW34" s="238" t="s">
        <v>141</v>
      </c>
    </row>
    <row r="35" spans="1:92" ht="42" customHeight="1" x14ac:dyDescent="0.35">
      <c r="A35" s="301"/>
      <c r="B35" s="374"/>
      <c r="C35" s="374"/>
      <c r="D35" s="374"/>
      <c r="E35" s="374"/>
      <c r="F35" s="374"/>
      <c r="G35" s="374"/>
      <c r="H35" s="374"/>
      <c r="I35" s="258"/>
      <c r="J35" s="258"/>
      <c r="K35" s="258"/>
      <c r="L35" s="258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374"/>
      <c r="Y35" s="374"/>
      <c r="Z35" s="374"/>
      <c r="AA35" s="374"/>
      <c r="AB35" s="374"/>
      <c r="AC35" s="374"/>
      <c r="AD35" s="374"/>
      <c r="AE35" s="258"/>
      <c r="AF35" s="258"/>
      <c r="AG35" s="258"/>
      <c r="AH35" s="258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349"/>
      <c r="AU35" s="12"/>
      <c r="AV35" s="61" t="s">
        <v>88</v>
      </c>
      <c r="AW35" s="143" t="s">
        <v>88</v>
      </c>
      <c r="AX35" s="150">
        <f>IF(AND(F$19&gt;0,F$19&lt;60),60,F$19)</f>
        <v>0</v>
      </c>
      <c r="AY35" s="147"/>
      <c r="AZ35" s="13"/>
      <c r="BA35" s="13"/>
      <c r="BB35" s="90"/>
      <c r="BC35" s="90"/>
      <c r="BD35" s="12"/>
      <c r="BE35" s="12"/>
      <c r="BF35" s="12"/>
      <c r="BG35" s="12"/>
      <c r="BH35" s="12"/>
      <c r="BI35" s="12"/>
      <c r="BJ35" s="12"/>
      <c r="BK35" s="12"/>
      <c r="BM35" s="12"/>
      <c r="BN35" s="12"/>
      <c r="BS35" s="239">
        <v>0.66666666666666663</v>
      </c>
      <c r="BT35" s="239">
        <v>0.91666666666666663</v>
      </c>
      <c r="BU35" s="238" t="s">
        <v>125</v>
      </c>
      <c r="BV35" s="238" t="s">
        <v>129</v>
      </c>
      <c r="BW35" s="238" t="s">
        <v>142</v>
      </c>
    </row>
    <row r="36" spans="1:92" ht="21" customHeight="1" x14ac:dyDescent="0.35">
      <c r="A36" s="301"/>
      <c r="B36" s="374"/>
      <c r="C36" s="374"/>
      <c r="D36" s="374"/>
      <c r="E36" s="374"/>
      <c r="F36" s="374"/>
      <c r="G36" s="374"/>
      <c r="H36" s="374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374"/>
      <c r="Y36" s="374"/>
      <c r="Z36" s="374"/>
      <c r="AA36" s="374"/>
      <c r="AB36" s="374"/>
      <c r="AC36" s="374"/>
      <c r="AD36" s="374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349"/>
      <c r="BS36" s="239">
        <v>0.91666666666666663</v>
      </c>
      <c r="BT36" s="239">
        <v>0.16666666666666666</v>
      </c>
      <c r="BU36" s="238" t="s">
        <v>124</v>
      </c>
      <c r="BV36" s="238" t="s">
        <v>128</v>
      </c>
      <c r="BW36" s="238" t="s">
        <v>143</v>
      </c>
    </row>
    <row r="37" spans="1:92" ht="22.5" customHeight="1" x14ac:dyDescent="0.35">
      <c r="A37" s="301"/>
      <c r="B37" s="374"/>
      <c r="C37" s="374"/>
      <c r="D37" s="374"/>
      <c r="E37" s="374"/>
      <c r="F37" s="374"/>
      <c r="G37" s="374"/>
      <c r="H37" s="374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374"/>
      <c r="Y37" s="374"/>
      <c r="Z37" s="374"/>
      <c r="AA37" s="374"/>
      <c r="AB37" s="374"/>
      <c r="AC37" s="374"/>
      <c r="AD37" s="374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BS37" s="239">
        <v>0.16666666666666666</v>
      </c>
      <c r="BT37" s="239">
        <v>0.41666666666666669</v>
      </c>
      <c r="BU37" s="240" t="s">
        <v>127</v>
      </c>
      <c r="BV37" s="240" t="s">
        <v>130</v>
      </c>
      <c r="BW37" s="238" t="s">
        <v>144</v>
      </c>
    </row>
    <row r="38" spans="1:92" ht="21" customHeight="1" x14ac:dyDescent="0.4">
      <c r="A38" s="301"/>
      <c r="B38" s="374"/>
      <c r="C38" s="374"/>
      <c r="D38" s="374"/>
      <c r="E38" s="374"/>
      <c r="F38" s="374"/>
      <c r="G38" s="374"/>
      <c r="H38" s="374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374"/>
      <c r="Y38" s="374"/>
      <c r="Z38" s="374"/>
      <c r="AA38" s="374"/>
      <c r="AB38" s="374"/>
      <c r="AC38" s="374"/>
      <c r="AD38" s="374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CH38" s="168"/>
      <c r="CI38" s="161"/>
      <c r="CJ38" s="123"/>
      <c r="CK38" s="123"/>
      <c r="CL38" s="168"/>
      <c r="CM38" s="161"/>
      <c r="CN38" s="123"/>
    </row>
    <row r="39" spans="1:92" ht="21" customHeight="1" x14ac:dyDescent="0.35">
      <c r="A39" s="301"/>
      <c r="B39" s="374"/>
      <c r="C39" s="374"/>
      <c r="D39" s="374"/>
      <c r="E39" s="374"/>
      <c r="F39" s="374"/>
      <c r="G39" s="374"/>
      <c r="H39" s="374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374"/>
      <c r="Y39" s="374"/>
      <c r="Z39" s="374"/>
      <c r="AA39" s="374"/>
      <c r="AB39" s="374"/>
      <c r="AC39" s="374"/>
      <c r="AD39" s="374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CJ39" s="123"/>
      <c r="CK39" s="123"/>
      <c r="CL39" s="123"/>
      <c r="CM39" s="123"/>
      <c r="CN39" s="123"/>
    </row>
    <row r="40" spans="1:92" ht="21" customHeight="1" x14ac:dyDescent="0.35">
      <c r="A40" s="301"/>
      <c r="B40" s="374"/>
      <c r="C40" s="374"/>
      <c r="D40" s="374"/>
      <c r="E40" s="374"/>
      <c r="F40" s="374"/>
      <c r="G40" s="374"/>
      <c r="H40" s="374"/>
      <c r="I40" s="222"/>
      <c r="J40" s="222"/>
      <c r="K40" s="222"/>
      <c r="L40" s="222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374"/>
      <c r="Y40" s="374"/>
      <c r="Z40" s="374"/>
      <c r="AA40" s="374"/>
      <c r="AB40" s="374"/>
      <c r="AC40" s="374"/>
      <c r="AD40" s="374"/>
      <c r="AE40" s="222"/>
      <c r="AF40" s="222"/>
      <c r="AG40" s="222"/>
      <c r="AH40" s="222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W40" s="155" t="s">
        <v>19</v>
      </c>
      <c r="AX40" s="152" t="str">
        <f>IF(AX31&gt;0,AX31,"")</f>
        <v/>
      </c>
      <c r="CJ40" s="123"/>
      <c r="CK40" s="123"/>
      <c r="CL40" s="123"/>
      <c r="CM40" s="123"/>
      <c r="CN40" s="123"/>
    </row>
    <row r="41" spans="1:92" ht="21" customHeight="1" x14ac:dyDescent="0.35">
      <c r="A41" s="301"/>
      <c r="B41" s="374"/>
      <c r="C41" s="374"/>
      <c r="D41" s="374"/>
      <c r="E41" s="374"/>
      <c r="F41" s="374"/>
      <c r="G41" s="374"/>
      <c r="H41" s="374"/>
      <c r="I41" s="222"/>
      <c r="J41" s="222"/>
      <c r="K41" s="222"/>
      <c r="L41" s="222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374"/>
      <c r="Y41" s="374"/>
      <c r="Z41" s="374"/>
      <c r="AA41" s="374"/>
      <c r="AB41" s="374"/>
      <c r="AC41" s="374"/>
      <c r="AD41" s="374"/>
      <c r="AE41" s="222"/>
      <c r="AF41" s="222"/>
      <c r="AG41" s="222"/>
      <c r="AH41" s="222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W41" s="155"/>
      <c r="AX41" s="152"/>
      <c r="CJ41" s="123"/>
      <c r="CK41" s="123"/>
      <c r="CL41" s="123"/>
      <c r="CM41" s="123"/>
      <c r="CN41" s="123"/>
    </row>
    <row r="42" spans="1:92" ht="21" customHeight="1" x14ac:dyDescent="0.4">
      <c r="A42" s="301"/>
      <c r="B42" s="374"/>
      <c r="C42" s="374"/>
      <c r="D42" s="374"/>
      <c r="E42" s="374"/>
      <c r="F42" s="374"/>
      <c r="G42" s="374"/>
      <c r="H42" s="374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374"/>
      <c r="Y42" s="374"/>
      <c r="Z42" s="374"/>
      <c r="AA42" s="374"/>
      <c r="AB42" s="374"/>
      <c r="AC42" s="374"/>
      <c r="AD42" s="374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W42" s="155" t="s">
        <v>26</v>
      </c>
      <c r="AX42" s="153" t="str">
        <f>IF(AX40&gt;0,AX32,"")</f>
        <v>Not available</v>
      </c>
      <c r="CH42" s="181"/>
      <c r="CI42" s="163"/>
      <c r="CJ42" s="123"/>
      <c r="CK42" s="123"/>
      <c r="CL42" s="181"/>
      <c r="CM42" s="163"/>
      <c r="CN42" s="123"/>
    </row>
    <row r="43" spans="1:92" ht="24" customHeight="1" x14ac:dyDescent="0.4">
      <c r="A43" s="301"/>
      <c r="B43" s="374"/>
      <c r="C43" s="374"/>
      <c r="D43" s="374"/>
      <c r="E43" s="374"/>
      <c r="F43" s="374"/>
      <c r="G43" s="374"/>
      <c r="H43" s="374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374"/>
      <c r="Y43" s="374"/>
      <c r="Z43" s="374"/>
      <c r="AA43" s="374"/>
      <c r="AB43" s="374"/>
      <c r="AC43" s="374"/>
      <c r="AD43" s="374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W43" s="156" t="s">
        <v>89</v>
      </c>
      <c r="AX43" s="154" t="str">
        <f>IF(F$17=0,"",IF(AX$31=0,F$17,AX$33))</f>
        <v/>
      </c>
      <c r="CH43" s="178"/>
      <c r="CI43" s="164"/>
      <c r="CJ43" s="123"/>
      <c r="CK43" s="123"/>
      <c r="CL43" s="178"/>
      <c r="CM43" s="164"/>
      <c r="CN43" s="123"/>
    </row>
    <row r="44" spans="1:92" ht="24" customHeight="1" x14ac:dyDescent="0.4">
      <c r="A44" s="301"/>
      <c r="B44" s="261"/>
      <c r="C44" s="261"/>
      <c r="D44" s="261"/>
      <c r="E44" s="261"/>
      <c r="F44" s="261"/>
      <c r="G44" s="261"/>
      <c r="H44" s="261"/>
      <c r="I44" s="256"/>
      <c r="J44" s="256"/>
      <c r="K44" s="256"/>
      <c r="L44" s="256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1"/>
      <c r="Y44" s="261"/>
      <c r="Z44" s="261"/>
      <c r="AA44" s="261"/>
      <c r="AB44" s="261"/>
      <c r="AC44" s="261"/>
      <c r="AD44" s="261"/>
      <c r="AE44" s="256"/>
      <c r="AF44" s="256"/>
      <c r="AG44" s="256"/>
      <c r="AH44" s="256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CH44" s="178"/>
      <c r="CI44" s="165"/>
      <c r="CJ44" s="123"/>
      <c r="CK44" s="123"/>
      <c r="CL44" s="178"/>
      <c r="CM44" s="165"/>
      <c r="CN44" s="123"/>
    </row>
    <row r="45" spans="1:92" ht="24" customHeight="1" x14ac:dyDescent="0.4">
      <c r="A45" s="301"/>
      <c r="B45" s="261"/>
      <c r="C45" s="261"/>
      <c r="D45" s="261"/>
      <c r="E45" s="261"/>
      <c r="F45" s="261"/>
      <c r="G45" s="261"/>
      <c r="H45" s="261"/>
      <c r="I45" s="223"/>
      <c r="J45" s="223"/>
      <c r="K45" s="223"/>
      <c r="L45" s="223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1"/>
      <c r="Y45" s="261"/>
      <c r="Z45" s="261"/>
      <c r="AA45" s="261"/>
      <c r="AB45" s="261"/>
      <c r="AC45" s="261"/>
      <c r="AD45" s="261"/>
      <c r="AE45" s="223"/>
      <c r="AF45" s="223"/>
      <c r="AG45" s="223"/>
      <c r="AH45" s="223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Y45" s="157"/>
      <c r="CH45" s="178"/>
      <c r="CI45" s="165"/>
      <c r="CJ45" s="123"/>
      <c r="CK45" s="123"/>
      <c r="CL45" s="178"/>
      <c r="CM45" s="165"/>
      <c r="CN45" s="123"/>
    </row>
    <row r="46" spans="1:92" ht="24" customHeight="1" x14ac:dyDescent="0.4">
      <c r="E46" s="243"/>
      <c r="AA46" s="243"/>
      <c r="AY46" s="158"/>
      <c r="CH46" s="178"/>
      <c r="CI46" s="165"/>
      <c r="CJ46" s="123"/>
      <c r="CK46" s="123"/>
      <c r="CL46" s="178"/>
      <c r="CM46" s="165"/>
      <c r="CN46" s="123"/>
    </row>
    <row r="47" spans="1:92" ht="24" customHeight="1" x14ac:dyDescent="0.35">
      <c r="B47" s="263"/>
      <c r="X47" s="263"/>
      <c r="AY47" s="159"/>
      <c r="CH47" s="174"/>
      <c r="CI47" s="166"/>
      <c r="CJ47" s="123"/>
      <c r="CK47" s="123"/>
      <c r="CL47" s="182"/>
      <c r="CM47" s="182"/>
      <c r="CN47" s="182"/>
    </row>
    <row r="48" spans="1:92" ht="24" customHeight="1" x14ac:dyDescent="0.4">
      <c r="E48" s="374"/>
      <c r="F48" s="374"/>
      <c r="G48" s="374"/>
      <c r="H48" s="374"/>
      <c r="I48" s="374"/>
      <c r="J48" s="374"/>
      <c r="K48" s="374"/>
      <c r="AA48" s="374"/>
      <c r="AB48" s="374"/>
      <c r="AC48" s="374"/>
      <c r="AD48" s="374"/>
      <c r="AE48" s="374"/>
      <c r="AF48" s="374"/>
      <c r="AG48" s="374"/>
      <c r="AU48" s="167"/>
      <c r="AV48" s="167"/>
      <c r="CI48" s="166"/>
      <c r="CJ48" s="123"/>
      <c r="CK48" s="123"/>
      <c r="CL48" s="180"/>
      <c r="CM48" s="180"/>
      <c r="CN48" s="123"/>
    </row>
    <row r="49" spans="2:90" ht="24" customHeight="1" x14ac:dyDescent="0.35">
      <c r="B49" s="263"/>
      <c r="C49" s="223"/>
      <c r="D49" s="223"/>
      <c r="E49" s="374"/>
      <c r="F49" s="374"/>
      <c r="G49" s="374"/>
      <c r="H49" s="374"/>
      <c r="I49" s="374"/>
      <c r="J49" s="374"/>
      <c r="K49" s="374"/>
      <c r="L49" s="223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63"/>
      <c r="Y49" s="223"/>
      <c r="Z49" s="223"/>
      <c r="AA49" s="374"/>
      <c r="AB49" s="374"/>
      <c r="AC49" s="374"/>
      <c r="AD49" s="374"/>
      <c r="AE49" s="374"/>
      <c r="AF49" s="374"/>
      <c r="AG49" s="374"/>
      <c r="AH49" s="223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45"/>
      <c r="AU49" s="167"/>
      <c r="AV49" s="167"/>
      <c r="CJ49" s="123"/>
      <c r="CK49" s="123"/>
      <c r="CL49" s="123"/>
    </row>
    <row r="50" spans="2:90" ht="24" customHeight="1" x14ac:dyDescent="0.4">
      <c r="C50" s="223"/>
      <c r="D50" s="223"/>
      <c r="E50" s="374"/>
      <c r="F50" s="374"/>
      <c r="G50" s="374"/>
      <c r="H50" s="374"/>
      <c r="I50" s="374"/>
      <c r="J50" s="374"/>
      <c r="K50" s="374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Y50" s="223"/>
      <c r="Z50" s="223"/>
      <c r="AA50" s="374"/>
      <c r="AB50" s="374"/>
      <c r="AC50" s="374"/>
      <c r="AD50" s="374"/>
      <c r="AE50" s="374"/>
      <c r="AF50" s="374"/>
      <c r="AG50" s="374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45"/>
      <c r="AU50" s="167"/>
      <c r="AV50" s="167"/>
      <c r="CH50" s="179"/>
      <c r="CJ50" s="123"/>
      <c r="CK50" s="123"/>
      <c r="CL50" s="123"/>
    </row>
    <row r="51" spans="2:90" ht="24.75" customHeight="1" x14ac:dyDescent="0.35">
      <c r="E51" s="374"/>
      <c r="F51" s="374"/>
      <c r="G51" s="374"/>
      <c r="H51" s="374"/>
      <c r="I51" s="374"/>
      <c r="J51" s="374"/>
      <c r="K51" s="374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AA51" s="374"/>
      <c r="AB51" s="374"/>
      <c r="AC51" s="374"/>
      <c r="AD51" s="374"/>
      <c r="AE51" s="374"/>
      <c r="AF51" s="374"/>
      <c r="AG51" s="374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45"/>
      <c r="AU51" s="167"/>
      <c r="AV51" s="167"/>
      <c r="CH51" s="525"/>
      <c r="CI51" s="525"/>
      <c r="CJ51" s="525"/>
      <c r="CK51" s="123"/>
      <c r="CL51" s="123"/>
    </row>
    <row r="52" spans="2:90" ht="20.25" customHeight="1" x14ac:dyDescent="0.4">
      <c r="B52" s="244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4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5"/>
      <c r="AU52" s="167"/>
      <c r="AV52" s="167"/>
      <c r="CH52" s="180"/>
      <c r="CI52" s="180"/>
      <c r="CJ52" s="123"/>
      <c r="CK52" s="123"/>
      <c r="CL52" s="123"/>
    </row>
    <row r="53" spans="2:90" ht="8.25" customHeight="1" x14ac:dyDescent="0.35">
      <c r="AT53" s="245"/>
      <c r="AU53" s="184"/>
      <c r="AV53" s="184"/>
      <c r="AW53" s="184"/>
      <c r="AX53" s="184"/>
      <c r="AY53" s="184"/>
      <c r="AZ53" s="184"/>
      <c r="BA53" s="184"/>
    </row>
    <row r="54" spans="2:90" ht="7.5" customHeight="1" x14ac:dyDescent="0.35">
      <c r="AT54" s="225"/>
      <c r="AW54" s="184"/>
      <c r="AX54" s="184"/>
      <c r="AY54" s="184"/>
      <c r="AZ54" s="184"/>
      <c r="BA54" s="184"/>
    </row>
    <row r="55" spans="2:90" ht="33" customHeight="1" x14ac:dyDescent="0.35">
      <c r="D55" s="264"/>
      <c r="E55" s="265"/>
      <c r="F55" s="246"/>
      <c r="G55" s="246"/>
      <c r="H55" s="246"/>
      <c r="I55" s="246"/>
      <c r="J55" s="246"/>
      <c r="K55" s="246"/>
      <c r="L55" s="246"/>
      <c r="M55" s="246"/>
      <c r="N55" s="246"/>
      <c r="O55" s="247"/>
      <c r="P55" s="247"/>
      <c r="Q55" s="247"/>
      <c r="R55" s="247"/>
      <c r="S55" s="247"/>
      <c r="Z55" s="264"/>
      <c r="AA55" s="265"/>
      <c r="AB55" s="246"/>
      <c r="AC55" s="246"/>
      <c r="AD55" s="246"/>
      <c r="AE55" s="246"/>
      <c r="AF55" s="246"/>
      <c r="AG55" s="246"/>
      <c r="AH55" s="246"/>
      <c r="AI55" s="246"/>
      <c r="AJ55" s="246"/>
      <c r="AK55" s="247"/>
      <c r="AL55" s="247"/>
      <c r="AM55" s="247"/>
      <c r="AN55" s="247"/>
      <c r="AO55" s="247"/>
      <c r="AU55" s="184"/>
      <c r="AV55" s="184"/>
      <c r="AW55" s="184"/>
      <c r="AX55" s="184"/>
      <c r="AY55" s="184"/>
      <c r="AZ55" s="184"/>
      <c r="BA55" s="184"/>
    </row>
    <row r="56" spans="2:90" ht="53.25" customHeight="1" x14ac:dyDescent="0.35"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375"/>
      <c r="P56" s="375"/>
      <c r="Q56" s="375"/>
      <c r="R56" s="375"/>
      <c r="S56" s="375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375"/>
      <c r="AL56" s="375"/>
      <c r="AM56" s="375"/>
      <c r="AN56" s="375"/>
      <c r="AO56" s="375"/>
      <c r="AT56" s="225"/>
      <c r="AU56" s="184"/>
      <c r="AV56" s="184"/>
      <c r="AW56" s="184"/>
      <c r="AX56" s="184"/>
      <c r="AY56" s="184"/>
      <c r="AZ56" s="184"/>
      <c r="BA56" s="184"/>
    </row>
    <row r="57" spans="2:90" ht="30" customHeight="1" x14ac:dyDescent="0.35"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367"/>
      <c r="P57" s="367"/>
      <c r="Q57" s="367"/>
      <c r="R57" s="367"/>
      <c r="S57" s="367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367"/>
      <c r="AL57" s="367"/>
      <c r="AM57" s="367"/>
      <c r="AN57" s="367"/>
      <c r="AO57" s="367"/>
      <c r="AT57" s="225"/>
      <c r="AU57" s="184"/>
      <c r="AV57" s="184"/>
      <c r="AW57" s="184"/>
      <c r="AX57" s="184"/>
      <c r="AY57" s="184"/>
      <c r="AZ57" s="184"/>
      <c r="BA57" s="184"/>
      <c r="BE57" s="160"/>
    </row>
    <row r="58" spans="2:90" ht="30" customHeight="1" x14ac:dyDescent="0.35"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367"/>
      <c r="P58" s="367"/>
      <c r="Q58" s="367"/>
      <c r="R58" s="367"/>
      <c r="S58" s="367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367"/>
      <c r="AL58" s="367"/>
      <c r="AM58" s="367"/>
      <c r="AN58" s="367"/>
      <c r="AO58" s="367"/>
      <c r="AT58" s="225"/>
      <c r="AU58" s="184"/>
      <c r="AV58" s="184"/>
      <c r="AW58" s="184"/>
      <c r="AX58" s="184"/>
      <c r="AY58" s="184"/>
      <c r="AZ58" s="184"/>
      <c r="BA58" s="184"/>
      <c r="BE58" s="118"/>
    </row>
    <row r="59" spans="2:90" ht="30" customHeight="1" x14ac:dyDescent="0.35"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367"/>
      <c r="P59" s="367"/>
      <c r="Q59" s="367"/>
      <c r="R59" s="367"/>
      <c r="S59" s="367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367"/>
      <c r="AL59" s="367"/>
      <c r="AM59" s="367"/>
      <c r="AN59" s="367"/>
      <c r="AO59" s="367"/>
      <c r="AT59" s="225"/>
      <c r="AU59" s="185"/>
      <c r="AV59" s="185"/>
      <c r="AW59" s="185"/>
      <c r="AX59" s="184"/>
      <c r="AY59" s="184"/>
      <c r="AZ59" s="184"/>
      <c r="BA59" s="184"/>
    </row>
    <row r="60" spans="2:90" ht="30" customHeight="1" x14ac:dyDescent="0.35"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367"/>
      <c r="P60" s="367"/>
      <c r="Q60" s="367"/>
      <c r="R60" s="367"/>
      <c r="S60" s="367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367"/>
      <c r="AL60" s="367"/>
      <c r="AM60" s="367"/>
      <c r="AN60" s="367"/>
      <c r="AO60" s="367"/>
      <c r="AT60" s="226"/>
      <c r="AU60" s="184"/>
      <c r="AV60" s="184"/>
      <c r="AW60" s="184"/>
      <c r="AX60" s="184"/>
      <c r="AY60" s="184"/>
      <c r="AZ60" s="184"/>
      <c r="BA60" s="184"/>
    </row>
    <row r="61" spans="2:90" ht="30" customHeight="1" x14ac:dyDescent="0.35"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367"/>
      <c r="P61" s="367"/>
      <c r="Q61" s="367"/>
      <c r="R61" s="367"/>
      <c r="S61" s="367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367"/>
      <c r="AL61" s="367"/>
      <c r="AM61" s="367"/>
      <c r="AN61" s="367"/>
      <c r="AO61" s="367"/>
      <c r="AT61" s="225"/>
      <c r="AU61" s="184"/>
      <c r="AV61" s="184"/>
      <c r="AW61" s="184"/>
      <c r="AX61" s="184"/>
      <c r="AY61" s="184"/>
      <c r="AZ61" s="184"/>
      <c r="BA61" s="184"/>
    </row>
    <row r="62" spans="2:90" ht="30" customHeight="1" x14ac:dyDescent="0.35"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367"/>
      <c r="P62" s="367"/>
      <c r="Q62" s="367"/>
      <c r="R62" s="367"/>
      <c r="S62" s="367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367"/>
      <c r="AL62" s="367"/>
      <c r="AM62" s="367"/>
      <c r="AN62" s="367"/>
      <c r="AO62" s="367"/>
      <c r="AT62" s="225"/>
      <c r="AU62" s="184"/>
      <c r="AV62" s="184"/>
      <c r="AW62" s="184"/>
      <c r="AX62" s="184"/>
      <c r="AY62" s="184"/>
      <c r="AZ62" s="184"/>
      <c r="BA62" s="184"/>
    </row>
    <row r="63" spans="2:90" ht="30" customHeight="1" x14ac:dyDescent="0.35"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367"/>
      <c r="P63" s="367"/>
      <c r="Q63" s="367"/>
      <c r="R63" s="367"/>
      <c r="S63" s="367"/>
      <c r="Z63" s="266"/>
      <c r="AA63" s="266"/>
      <c r="AB63" s="266"/>
      <c r="AC63" s="266"/>
      <c r="AD63" s="266"/>
      <c r="AE63" s="266"/>
      <c r="AF63" s="266"/>
      <c r="AG63" s="266"/>
      <c r="AH63" s="266"/>
      <c r="AI63" s="266"/>
      <c r="AJ63" s="266"/>
      <c r="AK63" s="367"/>
      <c r="AL63" s="367"/>
      <c r="AM63" s="367"/>
      <c r="AN63" s="367"/>
      <c r="AO63" s="367"/>
      <c r="AT63" s="225"/>
      <c r="AU63" s="184"/>
      <c r="AV63" s="184"/>
      <c r="AW63" s="184"/>
      <c r="AX63" s="184"/>
      <c r="AY63" s="184"/>
      <c r="AZ63" s="184"/>
      <c r="BA63" s="184"/>
    </row>
    <row r="64" spans="2:90" ht="30" customHeight="1" x14ac:dyDescent="0.35"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367"/>
      <c r="P64" s="367"/>
      <c r="Q64" s="367"/>
      <c r="R64" s="367"/>
      <c r="S64" s="367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367"/>
      <c r="AL64" s="367"/>
      <c r="AM64" s="367"/>
      <c r="AN64" s="367"/>
      <c r="AO64" s="367"/>
      <c r="AT64" s="225"/>
      <c r="AU64" s="184"/>
      <c r="AV64" s="184"/>
      <c r="AW64" s="184"/>
      <c r="AX64" s="184"/>
      <c r="AY64" s="184"/>
      <c r="AZ64" s="184"/>
      <c r="BA64" s="184"/>
    </row>
    <row r="65" spans="1:53" ht="30" customHeight="1" x14ac:dyDescent="0.35"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367"/>
      <c r="P65" s="367"/>
      <c r="Q65" s="367"/>
      <c r="R65" s="367"/>
      <c r="S65" s="367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367"/>
      <c r="AL65" s="367"/>
      <c r="AM65" s="367"/>
      <c r="AN65" s="367"/>
      <c r="AO65" s="367"/>
      <c r="AT65" s="225"/>
      <c r="AU65" s="184"/>
      <c r="AV65" s="184"/>
      <c r="AW65" s="184"/>
      <c r="AX65" s="184"/>
      <c r="AY65" s="184"/>
      <c r="AZ65" s="184"/>
      <c r="BA65" s="184"/>
    </row>
    <row r="66" spans="1:53" ht="30" customHeight="1" x14ac:dyDescent="0.35"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367"/>
      <c r="P66" s="367"/>
      <c r="Q66" s="367"/>
      <c r="R66" s="367"/>
      <c r="S66" s="367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367"/>
      <c r="AL66" s="367"/>
      <c r="AM66" s="367"/>
      <c r="AN66" s="367"/>
      <c r="AO66" s="367"/>
      <c r="AT66" s="225"/>
    </row>
    <row r="67" spans="1:53" ht="30" customHeight="1" x14ac:dyDescent="0.35"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367"/>
      <c r="P67" s="367"/>
      <c r="Q67" s="367"/>
      <c r="R67" s="367"/>
      <c r="S67" s="367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367"/>
      <c r="AL67" s="367"/>
      <c r="AM67" s="367"/>
      <c r="AN67" s="367"/>
      <c r="AO67" s="367"/>
    </row>
    <row r="68" spans="1:53" ht="12.75" customHeight="1" x14ac:dyDescent="0.35"/>
    <row r="69" spans="1:53" ht="29.25" customHeight="1" x14ac:dyDescent="0.35">
      <c r="B69" s="267"/>
      <c r="C69" s="268"/>
      <c r="D69" s="268"/>
      <c r="E69" s="268"/>
      <c r="F69" s="248"/>
      <c r="G69" s="248"/>
      <c r="H69" s="224"/>
      <c r="I69" s="224"/>
      <c r="J69" s="224"/>
      <c r="K69" s="224"/>
      <c r="L69" s="224"/>
      <c r="M69" s="248"/>
      <c r="N69" s="248"/>
      <c r="O69" s="248"/>
      <c r="X69" s="267"/>
      <c r="Y69" s="268"/>
      <c r="Z69" s="268"/>
      <c r="AA69" s="268"/>
      <c r="AB69" s="248"/>
      <c r="AC69" s="248"/>
      <c r="AD69" s="224"/>
      <c r="AE69" s="224"/>
      <c r="AF69" s="224"/>
      <c r="AG69" s="224"/>
      <c r="AH69" s="224"/>
      <c r="AI69" s="248"/>
      <c r="AJ69" s="248"/>
      <c r="AK69" s="248"/>
      <c r="AU69" s="242"/>
    </row>
    <row r="70" spans="1:53" ht="15" customHeight="1" x14ac:dyDescent="0.35">
      <c r="A70" s="269"/>
      <c r="B70" s="248"/>
      <c r="C70" s="248"/>
      <c r="D70" s="248"/>
      <c r="E70" s="248"/>
      <c r="F70" s="248"/>
      <c r="G70" s="248"/>
      <c r="H70" s="248"/>
      <c r="I70" s="224"/>
      <c r="J70" s="224"/>
      <c r="K70" s="224"/>
      <c r="L70" s="224"/>
      <c r="M70" s="248"/>
      <c r="N70" s="248"/>
      <c r="O70" s="248"/>
      <c r="X70" s="248"/>
      <c r="Y70" s="248"/>
      <c r="Z70" s="248"/>
      <c r="AA70" s="248"/>
      <c r="AB70" s="248"/>
      <c r="AC70" s="248"/>
      <c r="AD70" s="248"/>
      <c r="AE70" s="224"/>
      <c r="AF70" s="224"/>
      <c r="AG70" s="224"/>
      <c r="AH70" s="224"/>
      <c r="AI70" s="248"/>
      <c r="AJ70" s="248"/>
      <c r="AK70" s="248"/>
    </row>
    <row r="71" spans="1:53" ht="26.25" customHeight="1" x14ac:dyDescent="0.35">
      <c r="A71" s="248"/>
      <c r="B71" s="270"/>
      <c r="C71" s="249"/>
      <c r="D71" s="250"/>
      <c r="E71" s="250"/>
      <c r="F71" s="250"/>
      <c r="G71" s="250"/>
      <c r="H71" s="372"/>
      <c r="I71" s="372"/>
      <c r="J71" s="372"/>
      <c r="K71" s="372"/>
      <c r="X71" s="270"/>
      <c r="Y71" s="249"/>
      <c r="Z71" s="250"/>
      <c r="AA71" s="250"/>
      <c r="AB71" s="250"/>
      <c r="AC71" s="250"/>
      <c r="AD71" s="372"/>
      <c r="AE71" s="372"/>
      <c r="AF71" s="372"/>
      <c r="AG71" s="372"/>
    </row>
    <row r="72" spans="1:53" ht="26.25" customHeight="1" x14ac:dyDescent="0.35">
      <c r="B72" s="270"/>
      <c r="C72" s="251"/>
      <c r="D72" s="250"/>
      <c r="E72" s="250"/>
      <c r="F72" s="250"/>
      <c r="G72" s="250"/>
      <c r="H72" s="372"/>
      <c r="I72" s="372"/>
      <c r="J72" s="372"/>
      <c r="K72" s="372"/>
      <c r="X72" s="270"/>
      <c r="Y72" s="251"/>
      <c r="Z72" s="250"/>
      <c r="AA72" s="250"/>
      <c r="AB72" s="250"/>
      <c r="AC72" s="250"/>
      <c r="AD72" s="372"/>
      <c r="AE72" s="372"/>
      <c r="AF72" s="372"/>
      <c r="AG72" s="372"/>
    </row>
    <row r="73" spans="1:53" x14ac:dyDescent="0.35">
      <c r="B73" s="270"/>
      <c r="C73" s="252"/>
      <c r="H73" s="252"/>
      <c r="I73" s="252"/>
      <c r="J73" s="252"/>
      <c r="K73" s="252"/>
      <c r="L73" s="252"/>
      <c r="O73" s="373"/>
      <c r="P73" s="373"/>
      <c r="Q73" s="373"/>
      <c r="R73" s="373"/>
      <c r="X73" s="270"/>
      <c r="Y73" s="252"/>
      <c r="AD73" s="252"/>
      <c r="AE73" s="252"/>
      <c r="AF73" s="252"/>
      <c r="AG73" s="252"/>
      <c r="AH73" s="252"/>
      <c r="AK73" s="373"/>
      <c r="AL73" s="373"/>
      <c r="AM73" s="373"/>
      <c r="AN73" s="373"/>
    </row>
    <row r="74" spans="1:53" x14ac:dyDescent="0.35"/>
    <row r="75" spans="1:53" x14ac:dyDescent="0.35"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</row>
    <row r="76" spans="1:53" x14ac:dyDescent="0.35">
      <c r="B76" s="370"/>
      <c r="C76" s="370"/>
      <c r="D76" s="370"/>
      <c r="E76" s="370"/>
      <c r="F76" s="370"/>
      <c r="G76" s="370"/>
      <c r="H76" s="370"/>
      <c r="I76" s="370"/>
      <c r="J76" s="370"/>
      <c r="K76" s="370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0"/>
      <c r="Y76" s="370"/>
      <c r="Z76" s="370"/>
      <c r="AA76" s="370"/>
      <c r="AB76" s="370"/>
      <c r="AC76" s="370"/>
      <c r="AD76" s="370"/>
      <c r="AE76" s="370"/>
      <c r="AF76" s="370"/>
      <c r="AG76" s="370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</row>
    <row r="77" spans="1:53" ht="26.25" customHeight="1" x14ac:dyDescent="0.35">
      <c r="M77" s="219"/>
      <c r="N77" s="219"/>
      <c r="W77" s="225"/>
      <c r="AI77" s="353"/>
      <c r="AJ77" s="353"/>
      <c r="AS77" s="225"/>
    </row>
    <row r="78" spans="1:53" ht="26.25" customHeight="1" x14ac:dyDescent="0.35">
      <c r="D78" s="242"/>
      <c r="E78" s="242"/>
      <c r="M78" s="219"/>
      <c r="N78" s="219"/>
      <c r="O78" s="225"/>
      <c r="P78" s="225"/>
      <c r="Q78" s="225"/>
      <c r="R78" s="225"/>
      <c r="S78" s="225"/>
      <c r="T78" s="225"/>
      <c r="U78" s="225"/>
      <c r="V78" s="225"/>
      <c r="W78" s="225"/>
      <c r="Z78" s="242"/>
      <c r="AA78" s="242"/>
      <c r="AI78" s="353"/>
      <c r="AJ78" s="353"/>
      <c r="AK78" s="225"/>
      <c r="AL78" s="225"/>
      <c r="AM78" s="225"/>
      <c r="AN78" s="225"/>
      <c r="AO78" s="225"/>
      <c r="AP78" s="225"/>
      <c r="AQ78" s="225"/>
      <c r="AR78" s="225"/>
      <c r="AS78" s="225"/>
    </row>
    <row r="79" spans="1:53" ht="26.25" customHeight="1" x14ac:dyDescent="0.35">
      <c r="B79" s="225"/>
      <c r="C79" s="225"/>
      <c r="D79" s="242"/>
      <c r="E79" s="242"/>
      <c r="F79" s="225"/>
      <c r="G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42"/>
      <c r="AA79" s="242"/>
      <c r="AB79" s="225"/>
      <c r="AC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</row>
    <row r="80" spans="1:53" ht="26.25" customHeight="1" x14ac:dyDescent="0.35">
      <c r="B80" s="225"/>
      <c r="C80" s="225"/>
      <c r="D80" s="225"/>
      <c r="E80" s="225"/>
      <c r="F80" s="225"/>
      <c r="G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</row>
    <row r="81" spans="2:45" ht="26.25" customHeight="1" x14ac:dyDescent="0.35">
      <c r="B81" s="225"/>
      <c r="C81" s="225"/>
      <c r="D81" s="225"/>
      <c r="E81" s="225"/>
      <c r="F81" s="225"/>
      <c r="G81" s="225"/>
      <c r="I81" s="225"/>
      <c r="J81" s="225"/>
      <c r="K81" s="225"/>
      <c r="L81" s="225"/>
      <c r="M81" s="225"/>
      <c r="N81" s="225"/>
      <c r="O81" s="226"/>
      <c r="P81" s="226"/>
      <c r="Q81" s="226"/>
      <c r="R81" s="226"/>
      <c r="S81" s="226"/>
      <c r="T81" s="226"/>
      <c r="U81" s="226"/>
      <c r="V81" s="226"/>
      <c r="W81" s="226"/>
      <c r="X81" s="225"/>
      <c r="Y81" s="225"/>
      <c r="Z81" s="225"/>
      <c r="AA81" s="225"/>
      <c r="AB81" s="225"/>
      <c r="AC81" s="225"/>
      <c r="AE81" s="225"/>
      <c r="AF81" s="225"/>
      <c r="AG81" s="225"/>
      <c r="AH81" s="225"/>
      <c r="AI81" s="225"/>
      <c r="AJ81" s="225"/>
      <c r="AK81" s="226"/>
      <c r="AL81" s="226"/>
      <c r="AM81" s="226"/>
      <c r="AN81" s="226"/>
      <c r="AO81" s="226"/>
      <c r="AP81" s="226"/>
      <c r="AQ81" s="226"/>
      <c r="AR81" s="226"/>
      <c r="AS81" s="226"/>
    </row>
    <row r="82" spans="2:45" ht="26.25" customHeight="1" x14ac:dyDescent="0.35">
      <c r="B82" s="225"/>
      <c r="C82" s="225"/>
      <c r="D82" s="225"/>
      <c r="E82" s="225"/>
      <c r="F82" s="225"/>
      <c r="G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</row>
    <row r="83" spans="2:45" ht="26.25" customHeight="1" x14ac:dyDescent="0.35">
      <c r="B83" s="225"/>
      <c r="C83" s="225"/>
      <c r="D83" s="225"/>
      <c r="E83" s="225"/>
      <c r="F83" s="225"/>
      <c r="G83" s="225"/>
      <c r="H83" s="225"/>
      <c r="I83" s="225"/>
      <c r="J83" s="226"/>
      <c r="K83" s="226"/>
      <c r="L83" s="226"/>
      <c r="M83" s="226"/>
      <c r="N83" s="226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6"/>
      <c r="AG83" s="226"/>
      <c r="AH83" s="226"/>
      <c r="AI83" s="226"/>
      <c r="AJ83" s="226"/>
      <c r="AK83" s="225"/>
      <c r="AL83" s="225"/>
      <c r="AM83" s="225"/>
      <c r="AN83" s="225"/>
      <c r="AO83" s="225"/>
      <c r="AP83" s="225"/>
      <c r="AQ83" s="225"/>
      <c r="AR83" s="225"/>
      <c r="AS83" s="225"/>
    </row>
    <row r="84" spans="2:45" ht="26.25" customHeight="1" x14ac:dyDescent="0.35">
      <c r="B84" s="226"/>
      <c r="C84" s="226"/>
      <c r="D84" s="226"/>
      <c r="E84" s="226"/>
      <c r="F84" s="226"/>
      <c r="G84" s="226"/>
      <c r="H84" s="226"/>
      <c r="I84" s="226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6"/>
      <c r="Y84" s="226"/>
      <c r="Z84" s="226"/>
      <c r="AA84" s="226"/>
      <c r="AB84" s="226"/>
      <c r="AC84" s="226"/>
      <c r="AD84" s="226"/>
      <c r="AE84" s="226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</row>
    <row r="85" spans="2:45" ht="26.25" customHeight="1" x14ac:dyDescent="0.35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</row>
    <row r="86" spans="2:45" ht="26.25" customHeight="1" x14ac:dyDescent="0.35"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</row>
    <row r="87" spans="2:45" ht="26.25" customHeight="1" x14ac:dyDescent="0.35">
      <c r="B87" s="225"/>
      <c r="C87" s="225"/>
      <c r="D87" s="225"/>
      <c r="E87" s="225"/>
      <c r="F87" s="226"/>
      <c r="G87" s="226"/>
      <c r="H87" s="226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6"/>
      <c r="AC87" s="226"/>
      <c r="AD87" s="226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</row>
    <row r="88" spans="2:45" ht="26.25" customHeight="1" x14ac:dyDescent="0.35">
      <c r="F88" s="225"/>
      <c r="G88" s="225"/>
      <c r="H88" s="225"/>
      <c r="M88" s="219"/>
      <c r="N88" s="219"/>
      <c r="AB88" s="225"/>
      <c r="AC88" s="225"/>
      <c r="AD88" s="225"/>
      <c r="AI88" s="353"/>
      <c r="AJ88" s="353"/>
    </row>
    <row r="89" spans="2:45" ht="26.25" customHeight="1" x14ac:dyDescent="0.35">
      <c r="F89" s="225"/>
      <c r="G89" s="225"/>
      <c r="H89" s="225"/>
      <c r="M89" s="219"/>
      <c r="N89" s="219"/>
      <c r="AB89" s="225"/>
      <c r="AC89" s="225"/>
      <c r="AD89" s="225"/>
      <c r="AI89" s="353"/>
      <c r="AJ89" s="353"/>
    </row>
    <row r="90" spans="2:45" ht="26.25" customHeight="1" x14ac:dyDescent="0.35">
      <c r="F90" s="225"/>
      <c r="G90" s="225"/>
      <c r="H90" s="225"/>
      <c r="M90" s="219"/>
      <c r="N90" s="219"/>
      <c r="AB90" s="225"/>
      <c r="AC90" s="225"/>
      <c r="AD90" s="225"/>
      <c r="AI90" s="353"/>
      <c r="AJ90" s="353"/>
    </row>
    <row r="91" spans="2:45" ht="26.25" customHeight="1" x14ac:dyDescent="0.35">
      <c r="M91" s="219"/>
      <c r="N91" s="219"/>
      <c r="AI91" s="353"/>
      <c r="AJ91" s="353"/>
    </row>
    <row r="92" spans="2:45" ht="26.25" customHeight="1" x14ac:dyDescent="0.35">
      <c r="M92" s="219"/>
      <c r="N92" s="219"/>
      <c r="P92" s="225"/>
      <c r="Q92" s="225"/>
      <c r="R92" s="225"/>
      <c r="AI92" s="353"/>
      <c r="AJ92" s="353"/>
      <c r="AL92" s="225"/>
      <c r="AM92" s="225"/>
      <c r="AN92" s="225"/>
    </row>
    <row r="93" spans="2:45" ht="26.25" customHeight="1" x14ac:dyDescent="0.35">
      <c r="P93" s="225"/>
      <c r="Q93" s="225"/>
      <c r="R93" s="225"/>
      <c r="AL93" s="225"/>
      <c r="AM93" s="225"/>
      <c r="AN93" s="225"/>
    </row>
    <row r="94" spans="2:45" ht="26.25" customHeight="1" x14ac:dyDescent="0.35"/>
    <row r="95" spans="2:45" ht="26.25" customHeight="1" x14ac:dyDescent="0.35">
      <c r="G95" s="293"/>
      <c r="H95" s="293"/>
      <c r="I95" s="293"/>
      <c r="M95" s="219"/>
      <c r="N95" s="219"/>
      <c r="W95" s="225"/>
      <c r="AI95" s="353"/>
      <c r="AJ95" s="353"/>
      <c r="AS95" s="225"/>
    </row>
    <row r="96" spans="2:45" ht="26.25" customHeight="1" x14ac:dyDescent="0.35">
      <c r="D96" s="242"/>
      <c r="E96" s="242"/>
      <c r="G96" s="293"/>
      <c r="H96" s="293"/>
      <c r="I96" s="293"/>
      <c r="M96" s="219"/>
      <c r="N96" s="219"/>
      <c r="O96" s="225"/>
      <c r="P96" s="225"/>
      <c r="Q96" s="225"/>
      <c r="R96" s="225"/>
      <c r="S96" s="225"/>
      <c r="T96" s="225"/>
      <c r="U96" s="225"/>
      <c r="V96" s="225"/>
      <c r="W96" s="225"/>
      <c r="Z96" s="242"/>
      <c r="AA96" s="242"/>
      <c r="AI96" s="353"/>
      <c r="AJ96" s="353"/>
      <c r="AK96" s="225"/>
      <c r="AL96" s="225"/>
      <c r="AM96" s="225"/>
      <c r="AN96" s="225"/>
      <c r="AO96" s="225"/>
      <c r="AP96" s="225"/>
      <c r="AQ96" s="225"/>
      <c r="AR96" s="225"/>
      <c r="AS96" s="225"/>
    </row>
    <row r="97" spans="2:45" ht="26.25" customHeight="1" x14ac:dyDescent="0.35">
      <c r="B97" s="225"/>
      <c r="C97" s="225"/>
      <c r="D97" s="242"/>
      <c r="E97" s="242"/>
      <c r="F97" s="225"/>
      <c r="G97" s="225"/>
      <c r="H97" s="293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42"/>
      <c r="AA97" s="242"/>
      <c r="AB97" s="225"/>
      <c r="AC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</row>
    <row r="98" spans="2:45" ht="26.25" customHeight="1" x14ac:dyDescent="0.35">
      <c r="B98" s="225"/>
      <c r="C98" s="225"/>
      <c r="D98" s="225"/>
      <c r="E98" s="225"/>
      <c r="F98" s="225"/>
      <c r="G98" s="225"/>
      <c r="H98" s="293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</row>
    <row r="99" spans="2:45" ht="26.25" customHeight="1" x14ac:dyDescent="0.35">
      <c r="B99" s="225"/>
      <c r="C99" s="225"/>
      <c r="D99" s="225"/>
      <c r="E99" s="225"/>
      <c r="F99" s="225"/>
      <c r="G99" s="225"/>
      <c r="H99" s="293"/>
      <c r="I99" s="225"/>
      <c r="J99" s="225"/>
      <c r="K99" s="225"/>
      <c r="L99" s="225"/>
      <c r="M99" s="225"/>
      <c r="N99" s="225"/>
      <c r="O99" s="226"/>
      <c r="P99" s="226"/>
      <c r="Q99" s="226"/>
      <c r="R99" s="226"/>
      <c r="S99" s="226"/>
      <c r="T99" s="226"/>
      <c r="U99" s="226"/>
      <c r="V99" s="226"/>
      <c r="W99" s="226"/>
      <c r="X99" s="225"/>
      <c r="Y99" s="225"/>
      <c r="Z99" s="225"/>
      <c r="AA99" s="225"/>
      <c r="AB99" s="225"/>
      <c r="AC99" s="225"/>
      <c r="AE99" s="225"/>
      <c r="AF99" s="225"/>
      <c r="AG99" s="225"/>
      <c r="AH99" s="225"/>
      <c r="AI99" s="225"/>
      <c r="AJ99" s="225"/>
      <c r="AK99" s="226"/>
      <c r="AL99" s="226"/>
      <c r="AM99" s="226"/>
      <c r="AN99" s="226"/>
      <c r="AO99" s="226"/>
      <c r="AP99" s="226"/>
      <c r="AQ99" s="226"/>
      <c r="AR99" s="226"/>
      <c r="AS99" s="226"/>
    </row>
    <row r="100" spans="2:45" ht="26.25" customHeight="1" x14ac:dyDescent="0.35">
      <c r="B100" s="225"/>
      <c r="C100" s="225"/>
      <c r="D100" s="225"/>
      <c r="E100" s="225"/>
      <c r="F100" s="225"/>
      <c r="G100" s="225"/>
      <c r="H100" s="293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</row>
    <row r="101" spans="2:45" ht="26.25" customHeight="1" x14ac:dyDescent="0.35">
      <c r="B101" s="225"/>
      <c r="C101" s="225"/>
      <c r="D101" s="225"/>
      <c r="E101" s="225"/>
      <c r="F101" s="225"/>
      <c r="G101" s="225"/>
      <c r="H101" s="225"/>
      <c r="I101" s="225"/>
      <c r="J101" s="226"/>
      <c r="K101" s="226"/>
      <c r="L101" s="226"/>
      <c r="M101" s="226"/>
      <c r="N101" s="226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6"/>
      <c r="AG101" s="226"/>
      <c r="AH101" s="226"/>
      <c r="AI101" s="226"/>
      <c r="AJ101" s="226"/>
      <c r="AK101" s="225"/>
      <c r="AL101" s="225"/>
      <c r="AM101" s="225"/>
      <c r="AN101" s="225"/>
      <c r="AO101" s="225"/>
      <c r="AP101" s="225"/>
      <c r="AQ101" s="225"/>
      <c r="AR101" s="225"/>
      <c r="AS101" s="225"/>
    </row>
    <row r="102" spans="2:45" ht="26.25" customHeight="1" x14ac:dyDescent="0.35">
      <c r="B102" s="226"/>
      <c r="C102" s="226"/>
      <c r="D102" s="226"/>
      <c r="E102" s="226"/>
      <c r="F102" s="226"/>
      <c r="G102" s="226"/>
      <c r="H102" s="226"/>
      <c r="I102" s="226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6"/>
      <c r="Y102" s="226"/>
      <c r="Z102" s="226"/>
      <c r="AA102" s="226"/>
      <c r="AB102" s="226"/>
      <c r="AC102" s="226"/>
      <c r="AD102" s="226"/>
      <c r="AE102" s="226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</row>
    <row r="103" spans="2:45" ht="26.25" customHeight="1" x14ac:dyDescent="0.35"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</row>
    <row r="104" spans="2:45" ht="26.25" customHeight="1" x14ac:dyDescent="0.35"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</row>
    <row r="105" spans="2:45" ht="26.25" customHeight="1" x14ac:dyDescent="0.35">
      <c r="B105" s="225"/>
      <c r="C105" s="225"/>
      <c r="D105" s="225"/>
      <c r="E105" s="225"/>
      <c r="F105" s="226"/>
      <c r="G105" s="226"/>
      <c r="H105" s="226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6"/>
      <c r="AC105" s="226"/>
      <c r="AD105" s="226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</row>
    <row r="106" spans="2:45" ht="26.25" customHeight="1" x14ac:dyDescent="0.35">
      <c r="F106" s="225"/>
      <c r="G106" s="225"/>
      <c r="H106" s="225"/>
      <c r="M106" s="219"/>
      <c r="N106" s="219"/>
      <c r="AB106" s="225"/>
      <c r="AC106" s="225"/>
      <c r="AD106" s="225"/>
      <c r="AI106" s="353"/>
      <c r="AJ106" s="353"/>
    </row>
    <row r="107" spans="2:45" ht="26.25" customHeight="1" x14ac:dyDescent="0.35">
      <c r="F107" s="225"/>
      <c r="G107" s="225"/>
      <c r="H107" s="225"/>
      <c r="M107" s="219"/>
      <c r="N107" s="219"/>
      <c r="AB107" s="225"/>
      <c r="AC107" s="225"/>
      <c r="AD107" s="225"/>
      <c r="AI107" s="353"/>
      <c r="AJ107" s="353"/>
    </row>
    <row r="108" spans="2:45" ht="26.25" customHeight="1" x14ac:dyDescent="0.35">
      <c r="F108" s="225"/>
      <c r="G108" s="225"/>
      <c r="H108" s="225"/>
      <c r="M108" s="219"/>
      <c r="N108" s="219"/>
      <c r="AB108" s="225"/>
      <c r="AC108" s="225"/>
      <c r="AD108" s="225"/>
      <c r="AI108" s="353"/>
      <c r="AJ108" s="353"/>
    </row>
    <row r="109" spans="2:45" ht="26.25" customHeight="1" x14ac:dyDescent="0.35">
      <c r="M109" s="219"/>
      <c r="N109" s="219"/>
      <c r="AI109" s="353"/>
      <c r="AJ109" s="353"/>
    </row>
    <row r="110" spans="2:45" ht="26.25" customHeight="1" x14ac:dyDescent="0.35">
      <c r="M110" s="219"/>
      <c r="N110" s="219"/>
      <c r="P110" s="225"/>
      <c r="Q110" s="225"/>
      <c r="R110" s="225"/>
      <c r="AI110" s="353"/>
      <c r="AJ110" s="353"/>
      <c r="AL110" s="225"/>
      <c r="AM110" s="225"/>
      <c r="AN110" s="225"/>
    </row>
    <row r="111" spans="2:45" ht="26.25" customHeight="1" x14ac:dyDescent="0.35">
      <c r="P111" s="225"/>
      <c r="Q111" s="225"/>
      <c r="R111" s="225"/>
      <c r="AL111" s="225"/>
      <c r="AM111" s="225"/>
      <c r="AN111" s="225"/>
    </row>
    <row r="112" spans="2:45" ht="26.25" customHeight="1" x14ac:dyDescent="0.35"/>
    <row r="113" spans="2:45" ht="26.25" customHeight="1" x14ac:dyDescent="0.35">
      <c r="M113" s="219"/>
      <c r="N113" s="219"/>
      <c r="W113" s="225"/>
      <c r="AI113" s="353"/>
      <c r="AJ113" s="353"/>
      <c r="AS113" s="225"/>
    </row>
    <row r="114" spans="2:45" ht="26.25" customHeight="1" x14ac:dyDescent="0.35">
      <c r="D114" s="242"/>
      <c r="E114" s="242"/>
      <c r="M114" s="219"/>
      <c r="N114" s="219"/>
      <c r="O114" s="225"/>
      <c r="P114" s="225"/>
      <c r="Q114" s="225"/>
      <c r="R114" s="225"/>
      <c r="S114" s="225"/>
      <c r="T114" s="225"/>
      <c r="U114" s="225"/>
      <c r="V114" s="225"/>
      <c r="W114" s="225"/>
      <c r="Z114" s="242"/>
      <c r="AA114" s="242"/>
      <c r="AI114" s="353"/>
      <c r="AJ114" s="353"/>
      <c r="AK114" s="225"/>
      <c r="AL114" s="225"/>
      <c r="AM114" s="225"/>
      <c r="AN114" s="225"/>
      <c r="AO114" s="225"/>
      <c r="AP114" s="225"/>
      <c r="AQ114" s="225"/>
      <c r="AR114" s="225"/>
      <c r="AS114" s="225"/>
    </row>
    <row r="115" spans="2:45" ht="26.25" customHeight="1" x14ac:dyDescent="0.35">
      <c r="B115" s="225"/>
      <c r="C115" s="225"/>
      <c r="D115" s="242"/>
      <c r="E115" s="242"/>
      <c r="F115" s="225"/>
      <c r="G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42"/>
      <c r="AA115" s="242"/>
      <c r="AB115" s="225"/>
      <c r="AC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</row>
    <row r="116" spans="2:45" ht="26.25" customHeight="1" x14ac:dyDescent="0.35">
      <c r="B116" s="225"/>
      <c r="C116" s="225"/>
      <c r="D116" s="225"/>
      <c r="E116" s="225"/>
      <c r="F116" s="225"/>
      <c r="G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</row>
    <row r="117" spans="2:45" ht="26.25" customHeight="1" x14ac:dyDescent="0.35">
      <c r="B117" s="225"/>
      <c r="C117" s="225"/>
      <c r="D117" s="225"/>
      <c r="E117" s="225"/>
      <c r="F117" s="225"/>
      <c r="G117" s="225"/>
      <c r="I117" s="225"/>
      <c r="J117" s="225"/>
      <c r="K117" s="225"/>
      <c r="L117" s="225"/>
      <c r="M117" s="225"/>
      <c r="N117" s="225"/>
      <c r="O117" s="226"/>
      <c r="P117" s="226"/>
      <c r="Q117" s="226"/>
      <c r="R117" s="226"/>
      <c r="S117" s="226"/>
      <c r="T117" s="226"/>
      <c r="U117" s="226"/>
      <c r="V117" s="226"/>
      <c r="W117" s="226"/>
      <c r="X117" s="225"/>
      <c r="Y117" s="225"/>
      <c r="Z117" s="225"/>
      <c r="AA117" s="225"/>
      <c r="AB117" s="225"/>
      <c r="AC117" s="225"/>
      <c r="AE117" s="225"/>
      <c r="AF117" s="225"/>
      <c r="AG117" s="225"/>
      <c r="AH117" s="225"/>
      <c r="AI117" s="225"/>
      <c r="AJ117" s="225"/>
      <c r="AK117" s="226"/>
      <c r="AL117" s="226"/>
      <c r="AM117" s="226"/>
      <c r="AN117" s="226"/>
      <c r="AO117" s="226"/>
      <c r="AP117" s="226"/>
      <c r="AQ117" s="226"/>
      <c r="AR117" s="226"/>
      <c r="AS117" s="226"/>
    </row>
    <row r="118" spans="2:45" ht="26.25" customHeight="1" x14ac:dyDescent="0.35">
      <c r="B118" s="225"/>
      <c r="C118" s="225"/>
      <c r="D118" s="225"/>
      <c r="E118" s="225"/>
      <c r="F118" s="225"/>
      <c r="G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</row>
    <row r="119" spans="2:45" ht="26.25" customHeight="1" x14ac:dyDescent="0.35">
      <c r="B119" s="225"/>
      <c r="C119" s="225"/>
      <c r="D119" s="225"/>
      <c r="E119" s="225"/>
      <c r="F119" s="225"/>
      <c r="G119" s="225"/>
      <c r="H119" s="225"/>
      <c r="I119" s="225"/>
      <c r="J119" s="226"/>
      <c r="K119" s="226"/>
      <c r="L119" s="226"/>
      <c r="M119" s="226"/>
      <c r="N119" s="226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6"/>
      <c r="AG119" s="226"/>
      <c r="AH119" s="226"/>
      <c r="AI119" s="226"/>
      <c r="AJ119" s="226"/>
      <c r="AK119" s="225"/>
      <c r="AL119" s="225"/>
      <c r="AM119" s="225"/>
      <c r="AN119" s="225"/>
      <c r="AO119" s="225"/>
      <c r="AP119" s="225"/>
      <c r="AQ119" s="225"/>
      <c r="AR119" s="225"/>
      <c r="AS119" s="225"/>
    </row>
    <row r="120" spans="2:45" ht="26.25" customHeight="1" x14ac:dyDescent="0.35">
      <c r="B120" s="226"/>
      <c r="C120" s="226"/>
      <c r="D120" s="226"/>
      <c r="E120" s="226"/>
      <c r="F120" s="226"/>
      <c r="G120" s="226"/>
      <c r="H120" s="226"/>
      <c r="I120" s="226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6"/>
      <c r="Y120" s="226"/>
      <c r="Z120" s="226"/>
      <c r="AA120" s="226"/>
      <c r="AB120" s="226"/>
      <c r="AC120" s="226"/>
      <c r="AD120" s="226"/>
      <c r="AE120" s="226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</row>
    <row r="121" spans="2:45" ht="26.25" customHeight="1" x14ac:dyDescent="0.35"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</row>
    <row r="122" spans="2:45" ht="26.25" customHeight="1" x14ac:dyDescent="0.35"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</row>
    <row r="123" spans="2:45" ht="26.25" customHeight="1" x14ac:dyDescent="0.35">
      <c r="B123" s="225"/>
      <c r="C123" s="225"/>
      <c r="D123" s="225"/>
      <c r="E123" s="225"/>
      <c r="F123" s="226"/>
      <c r="G123" s="226"/>
      <c r="H123" s="226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6"/>
      <c r="AC123" s="226"/>
      <c r="AD123" s="226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  <c r="AS123" s="225"/>
    </row>
    <row r="124" spans="2:45" ht="26.25" customHeight="1" x14ac:dyDescent="0.35">
      <c r="F124" s="225"/>
      <c r="G124" s="225"/>
      <c r="H124" s="225"/>
      <c r="M124" s="219"/>
      <c r="N124" s="219"/>
      <c r="AB124" s="225"/>
      <c r="AC124" s="225"/>
      <c r="AD124" s="225"/>
      <c r="AI124" s="353"/>
      <c r="AJ124" s="353"/>
    </row>
    <row r="125" spans="2:45" ht="26.25" customHeight="1" x14ac:dyDescent="0.35">
      <c r="F125" s="225"/>
      <c r="G125" s="225"/>
      <c r="H125" s="225"/>
      <c r="M125" s="219"/>
      <c r="N125" s="219"/>
      <c r="AB125" s="225"/>
      <c r="AC125" s="225"/>
      <c r="AD125" s="225"/>
      <c r="AI125" s="353"/>
      <c r="AJ125" s="353"/>
    </row>
    <row r="126" spans="2:45" ht="26.25" customHeight="1" x14ac:dyDescent="0.35">
      <c r="F126" s="225"/>
      <c r="G126" s="225"/>
      <c r="H126" s="225"/>
      <c r="M126" s="219"/>
      <c r="N126" s="219"/>
      <c r="AB126" s="225"/>
      <c r="AC126" s="225"/>
      <c r="AD126" s="225"/>
      <c r="AI126" s="353"/>
      <c r="AJ126" s="353"/>
    </row>
    <row r="127" spans="2:45" ht="26.25" customHeight="1" x14ac:dyDescent="0.35">
      <c r="M127" s="219"/>
      <c r="N127" s="219"/>
      <c r="AI127" s="353"/>
      <c r="AJ127" s="353"/>
    </row>
    <row r="128" spans="2:45" ht="26.25" customHeight="1" x14ac:dyDescent="0.35">
      <c r="M128" s="219"/>
      <c r="N128" s="219"/>
      <c r="P128" s="225"/>
      <c r="Q128" s="225"/>
      <c r="R128" s="225"/>
      <c r="AI128" s="353"/>
      <c r="AJ128" s="353"/>
      <c r="AL128" s="225"/>
      <c r="AM128" s="225"/>
      <c r="AN128" s="225"/>
    </row>
    <row r="129" spans="2:45" ht="26.25" customHeight="1" x14ac:dyDescent="0.35">
      <c r="P129" s="225"/>
      <c r="Q129" s="225"/>
      <c r="R129" s="225"/>
      <c r="AL129" s="225"/>
      <c r="AM129" s="225"/>
      <c r="AN129" s="225"/>
    </row>
    <row r="130" spans="2:45" ht="26.25" hidden="1" customHeight="1" x14ac:dyDescent="0.35"/>
    <row r="131" spans="2:45" ht="26.25" hidden="1" customHeight="1" x14ac:dyDescent="0.35">
      <c r="M131" s="219"/>
      <c r="N131" s="219"/>
      <c r="W131" s="225"/>
      <c r="AI131" s="353"/>
      <c r="AJ131" s="353"/>
      <c r="AS131" s="225"/>
    </row>
    <row r="132" spans="2:45" ht="26.25" hidden="1" customHeight="1" x14ac:dyDescent="0.35">
      <c r="D132" s="242"/>
      <c r="E132" s="242"/>
      <c r="M132" s="219"/>
      <c r="N132" s="219"/>
      <c r="O132" s="225"/>
      <c r="P132" s="225"/>
      <c r="Q132" s="225"/>
      <c r="R132" s="225"/>
      <c r="S132" s="225"/>
      <c r="T132" s="225"/>
      <c r="U132" s="225"/>
      <c r="V132" s="225"/>
      <c r="W132" s="225"/>
      <c r="Z132" s="242"/>
      <c r="AA132" s="242"/>
      <c r="AI132" s="353"/>
      <c r="AJ132" s="353"/>
      <c r="AK132" s="225"/>
      <c r="AL132" s="225"/>
      <c r="AM132" s="225"/>
      <c r="AN132" s="225"/>
      <c r="AO132" s="225"/>
      <c r="AP132" s="225"/>
      <c r="AQ132" s="225"/>
      <c r="AR132" s="225"/>
      <c r="AS132" s="225"/>
    </row>
    <row r="133" spans="2:45" ht="26.25" hidden="1" customHeight="1" x14ac:dyDescent="0.35">
      <c r="B133" s="225"/>
      <c r="C133" s="225"/>
      <c r="D133" s="242"/>
      <c r="E133" s="242"/>
      <c r="F133" s="225"/>
      <c r="G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42"/>
      <c r="AA133" s="242"/>
      <c r="AB133" s="225"/>
      <c r="AC133" s="225"/>
      <c r="AE133" s="225"/>
      <c r="AF133" s="225"/>
      <c r="AG133" s="225"/>
      <c r="AH133" s="225"/>
      <c r="AI133" s="225"/>
      <c r="AJ133" s="225"/>
      <c r="AK133" s="225"/>
      <c r="AL133" s="225"/>
      <c r="AM133" s="225"/>
      <c r="AN133" s="225"/>
      <c r="AO133" s="225"/>
      <c r="AP133" s="225"/>
      <c r="AQ133" s="225"/>
      <c r="AR133" s="225"/>
      <c r="AS133" s="225"/>
    </row>
    <row r="134" spans="2:45" ht="26.25" hidden="1" customHeight="1" x14ac:dyDescent="0.35">
      <c r="B134" s="225"/>
      <c r="C134" s="225"/>
      <c r="D134" s="225"/>
      <c r="E134" s="225"/>
      <c r="F134" s="225"/>
      <c r="G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E134" s="225"/>
      <c r="AF134" s="225"/>
      <c r="AG134" s="225"/>
      <c r="AH134" s="225"/>
      <c r="AI134" s="225"/>
      <c r="AJ134" s="225"/>
      <c r="AK134" s="225"/>
      <c r="AL134" s="225"/>
      <c r="AM134" s="225"/>
      <c r="AN134" s="225"/>
      <c r="AO134" s="225"/>
      <c r="AP134" s="225"/>
      <c r="AQ134" s="225"/>
      <c r="AR134" s="225"/>
      <c r="AS134" s="225"/>
    </row>
    <row r="135" spans="2:45" ht="26.25" hidden="1" customHeight="1" x14ac:dyDescent="0.35">
      <c r="B135" s="225"/>
      <c r="C135" s="225"/>
      <c r="D135" s="225"/>
      <c r="E135" s="225"/>
      <c r="F135" s="225"/>
      <c r="G135" s="225"/>
      <c r="I135" s="225"/>
      <c r="J135" s="225"/>
      <c r="K135" s="225"/>
      <c r="L135" s="225"/>
      <c r="M135" s="225"/>
      <c r="N135" s="225"/>
      <c r="O135" s="226"/>
      <c r="P135" s="226"/>
      <c r="Q135" s="226"/>
      <c r="R135" s="226"/>
      <c r="S135" s="226"/>
      <c r="T135" s="226"/>
      <c r="U135" s="226"/>
      <c r="V135" s="226"/>
      <c r="W135" s="226"/>
      <c r="X135" s="225"/>
      <c r="Y135" s="225"/>
      <c r="Z135" s="225"/>
      <c r="AA135" s="225"/>
      <c r="AB135" s="225"/>
      <c r="AC135" s="225"/>
      <c r="AE135" s="225"/>
      <c r="AF135" s="225"/>
      <c r="AG135" s="225"/>
      <c r="AH135" s="225"/>
      <c r="AI135" s="225"/>
      <c r="AJ135" s="225"/>
      <c r="AK135" s="226"/>
      <c r="AL135" s="226"/>
      <c r="AM135" s="226"/>
      <c r="AN135" s="226"/>
      <c r="AO135" s="226"/>
      <c r="AP135" s="226"/>
      <c r="AQ135" s="226"/>
      <c r="AR135" s="226"/>
      <c r="AS135" s="226"/>
    </row>
    <row r="136" spans="2:45" ht="26.25" hidden="1" customHeight="1" x14ac:dyDescent="0.35">
      <c r="B136" s="225"/>
      <c r="C136" s="225"/>
      <c r="D136" s="225"/>
      <c r="E136" s="225"/>
      <c r="F136" s="225"/>
      <c r="G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E136" s="225"/>
      <c r="AF136" s="225"/>
      <c r="AG136" s="225"/>
      <c r="AH136" s="225"/>
      <c r="AI136" s="225"/>
      <c r="AJ136" s="225"/>
      <c r="AK136" s="225"/>
      <c r="AL136" s="225"/>
      <c r="AM136" s="225"/>
      <c r="AN136" s="225"/>
      <c r="AO136" s="225"/>
      <c r="AP136" s="225"/>
      <c r="AQ136" s="225"/>
      <c r="AR136" s="225"/>
      <c r="AS136" s="225"/>
    </row>
    <row r="137" spans="2:45" ht="23.25" hidden="1" customHeight="1" x14ac:dyDescent="0.35">
      <c r="B137" s="225"/>
      <c r="C137" s="225"/>
      <c r="D137" s="225"/>
      <c r="E137" s="225"/>
      <c r="F137" s="225"/>
      <c r="G137" s="225"/>
      <c r="H137" s="225"/>
      <c r="I137" s="225"/>
      <c r="J137" s="226"/>
      <c r="K137" s="226"/>
      <c r="L137" s="226"/>
      <c r="M137" s="226"/>
      <c r="N137" s="226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6"/>
      <c r="AG137" s="226"/>
      <c r="AH137" s="226"/>
      <c r="AI137" s="226"/>
      <c r="AJ137" s="226"/>
      <c r="AK137" s="225"/>
      <c r="AL137" s="225"/>
      <c r="AM137" s="225"/>
      <c r="AN137" s="225"/>
      <c r="AO137" s="225"/>
      <c r="AP137" s="225"/>
      <c r="AQ137" s="225"/>
      <c r="AR137" s="225"/>
      <c r="AS137" s="225"/>
    </row>
    <row r="138" spans="2:45" ht="23.25" hidden="1" customHeight="1" x14ac:dyDescent="0.35">
      <c r="B138" s="226"/>
      <c r="C138" s="226"/>
      <c r="D138" s="226"/>
      <c r="E138" s="226"/>
      <c r="F138" s="226"/>
      <c r="G138" s="226"/>
      <c r="H138" s="226"/>
      <c r="I138" s="226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6"/>
      <c r="Y138" s="226"/>
      <c r="Z138" s="226"/>
      <c r="AA138" s="226"/>
      <c r="AB138" s="226"/>
      <c r="AC138" s="226"/>
      <c r="AD138" s="226"/>
      <c r="AE138" s="226"/>
      <c r="AF138" s="225"/>
      <c r="AG138" s="225"/>
      <c r="AH138" s="225"/>
      <c r="AI138" s="225"/>
      <c r="AJ138" s="225"/>
      <c r="AK138" s="225"/>
      <c r="AL138" s="225"/>
      <c r="AM138" s="225"/>
      <c r="AN138" s="225"/>
      <c r="AO138" s="225"/>
      <c r="AP138" s="225"/>
      <c r="AQ138" s="225"/>
      <c r="AR138" s="225"/>
      <c r="AS138" s="225"/>
    </row>
    <row r="139" spans="2:45" ht="23.25" hidden="1" customHeight="1" x14ac:dyDescent="0.35"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  <c r="AL139" s="225"/>
      <c r="AM139" s="225"/>
      <c r="AN139" s="225"/>
      <c r="AO139" s="225"/>
      <c r="AP139" s="225"/>
      <c r="AQ139" s="225"/>
      <c r="AR139" s="225"/>
      <c r="AS139" s="225"/>
    </row>
    <row r="140" spans="2:45" ht="23.25" hidden="1" customHeight="1" x14ac:dyDescent="0.35"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  <c r="AL140" s="225"/>
      <c r="AM140" s="225"/>
      <c r="AN140" s="225"/>
      <c r="AO140" s="225"/>
      <c r="AP140" s="225"/>
      <c r="AQ140" s="225"/>
      <c r="AR140" s="225"/>
      <c r="AS140" s="225"/>
    </row>
    <row r="141" spans="2:45" ht="23.25" hidden="1" customHeight="1" x14ac:dyDescent="0.35">
      <c r="B141" s="225"/>
      <c r="C141" s="225"/>
      <c r="D141" s="225"/>
      <c r="E141" s="225"/>
      <c r="F141" s="226"/>
      <c r="G141" s="226"/>
      <c r="H141" s="226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6"/>
      <c r="AC141" s="226"/>
      <c r="AD141" s="226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  <c r="AO141" s="225"/>
      <c r="AP141" s="225"/>
      <c r="AQ141" s="225"/>
      <c r="AR141" s="225"/>
      <c r="AS141" s="225"/>
    </row>
    <row r="142" spans="2:45" ht="23.25" hidden="1" customHeight="1" x14ac:dyDescent="0.35">
      <c r="F142" s="225"/>
      <c r="G142" s="225"/>
      <c r="H142" s="225"/>
      <c r="M142" s="219"/>
      <c r="N142" s="219"/>
      <c r="AB142" s="225"/>
      <c r="AC142" s="225"/>
      <c r="AD142" s="225"/>
      <c r="AI142" s="353"/>
      <c r="AJ142" s="353"/>
    </row>
    <row r="143" spans="2:45" ht="23.25" hidden="1" customHeight="1" x14ac:dyDescent="0.35">
      <c r="F143" s="225"/>
      <c r="G143" s="225"/>
      <c r="H143" s="225"/>
      <c r="M143" s="219"/>
      <c r="N143" s="219"/>
      <c r="AB143" s="225"/>
      <c r="AC143" s="225"/>
      <c r="AD143" s="225"/>
      <c r="AI143" s="353"/>
      <c r="AJ143" s="353"/>
    </row>
    <row r="144" spans="2:45" ht="23.25" hidden="1" customHeight="1" x14ac:dyDescent="0.35">
      <c r="F144" s="225"/>
      <c r="G144" s="225"/>
      <c r="H144" s="225"/>
      <c r="M144" s="219"/>
      <c r="N144" s="219"/>
      <c r="AB144" s="225"/>
      <c r="AC144" s="225"/>
      <c r="AD144" s="225"/>
      <c r="AI144" s="353"/>
      <c r="AJ144" s="353"/>
    </row>
    <row r="145" spans="13:40" ht="23.25" hidden="1" customHeight="1" x14ac:dyDescent="0.35">
      <c r="M145" s="219"/>
      <c r="N145" s="219"/>
      <c r="AI145" s="353"/>
      <c r="AJ145" s="353"/>
    </row>
    <row r="146" spans="13:40" ht="23.25" hidden="1" customHeight="1" x14ac:dyDescent="0.35">
      <c r="M146" s="219"/>
      <c r="N146" s="219"/>
      <c r="P146" s="225"/>
      <c r="Q146" s="225"/>
      <c r="R146" s="225"/>
      <c r="AI146" s="353"/>
      <c r="AJ146" s="353"/>
      <c r="AL146" s="225"/>
      <c r="AM146" s="225"/>
      <c r="AN146" s="225"/>
    </row>
    <row r="147" spans="13:40" ht="23.25" hidden="1" customHeight="1" x14ac:dyDescent="0.35">
      <c r="P147" s="225"/>
      <c r="Q147" s="225"/>
      <c r="R147" s="225"/>
      <c r="AL147" s="225"/>
      <c r="AM147" s="225"/>
      <c r="AN147" s="225"/>
    </row>
    <row r="148" spans="13:40" ht="23.25" hidden="1" customHeight="1" x14ac:dyDescent="0.35"/>
  </sheetData>
  <sheetProtection algorithmName="SHA-512" hashValue="VldfFNylg5YgqR1FJPKBOqqUf1DqHNFVnAbZdN+VMQQ7wLLFtczQZNGUmTOj5+J0/3qcwccwrHUcp6MIgxd3rw==" saltValue="C4G+g23HhxTTbXNFdER4eQ==" spinCount="100000" sheet="1" objects="1" scenarios="1" selectLockedCells="1"/>
  <mergeCells count="301">
    <mergeCell ref="O62:S62"/>
    <mergeCell ref="O61:S61"/>
    <mergeCell ref="O57:S57"/>
    <mergeCell ref="O56:S56"/>
    <mergeCell ref="O60:S60"/>
    <mergeCell ref="G30:I30"/>
    <mergeCell ref="M30:Q30"/>
    <mergeCell ref="U29:W29"/>
    <mergeCell ref="M23:Q23"/>
    <mergeCell ref="R23:T23"/>
    <mergeCell ref="R24:T24"/>
    <mergeCell ref="M25:Q25"/>
    <mergeCell ref="G26:I26"/>
    <mergeCell ref="R25:T25"/>
    <mergeCell ref="R30:T30"/>
    <mergeCell ref="U28:W28"/>
    <mergeCell ref="G29:I29"/>
    <mergeCell ref="B76:D76"/>
    <mergeCell ref="L75:W75"/>
    <mergeCell ref="B75:K75"/>
    <mergeCell ref="O73:R73"/>
    <mergeCell ref="H72:K72"/>
    <mergeCell ref="H71:K71"/>
    <mergeCell ref="O67:S67"/>
    <mergeCell ref="O66:S66"/>
    <mergeCell ref="O65:S65"/>
    <mergeCell ref="S76:W76"/>
    <mergeCell ref="P76:R76"/>
    <mergeCell ref="L76:O76"/>
    <mergeCell ref="I76:K76"/>
    <mergeCell ref="E76:H76"/>
    <mergeCell ref="D28:F28"/>
    <mergeCell ref="G28:I28"/>
    <mergeCell ref="U25:W25"/>
    <mergeCell ref="O64:S64"/>
    <mergeCell ref="O63:S63"/>
    <mergeCell ref="B24:C24"/>
    <mergeCell ref="D24:F24"/>
    <mergeCell ref="G24:I24"/>
    <mergeCell ref="U26:W26"/>
    <mergeCell ref="O59:S59"/>
    <mergeCell ref="O58:S58"/>
    <mergeCell ref="E48:K48"/>
    <mergeCell ref="D30:F30"/>
    <mergeCell ref="B27:C27"/>
    <mergeCell ref="D27:F27"/>
    <mergeCell ref="G27:I27"/>
    <mergeCell ref="E51:K51"/>
    <mergeCell ref="E50:K50"/>
    <mergeCell ref="E49:K49"/>
    <mergeCell ref="M26:Q26"/>
    <mergeCell ref="R26:T26"/>
    <mergeCell ref="M27:Q27"/>
    <mergeCell ref="R27:T27"/>
    <mergeCell ref="D26:F26"/>
    <mergeCell ref="AW23:AZ23"/>
    <mergeCell ref="B42:H42"/>
    <mergeCell ref="B43:H43"/>
    <mergeCell ref="B38:H38"/>
    <mergeCell ref="B36:H36"/>
    <mergeCell ref="B37:H37"/>
    <mergeCell ref="B39:H39"/>
    <mergeCell ref="B40:H40"/>
    <mergeCell ref="B41:H41"/>
    <mergeCell ref="B33:H33"/>
    <mergeCell ref="B34:H34"/>
    <mergeCell ref="B35:H35"/>
    <mergeCell ref="U30:W30"/>
    <mergeCell ref="M24:Q24"/>
    <mergeCell ref="M28:Q28"/>
    <mergeCell ref="R28:T28"/>
    <mergeCell ref="M29:Q29"/>
    <mergeCell ref="R29:T29"/>
    <mergeCell ref="B30:C30"/>
    <mergeCell ref="B28:C28"/>
    <mergeCell ref="B29:C29"/>
    <mergeCell ref="D29:F29"/>
    <mergeCell ref="U27:W27"/>
    <mergeCell ref="B26:C26"/>
    <mergeCell ref="CH51:CJ51"/>
    <mergeCell ref="CG23:CH24"/>
    <mergeCell ref="X24:Y24"/>
    <mergeCell ref="Z24:AB24"/>
    <mergeCell ref="AC24:AE24"/>
    <mergeCell ref="AI24:AM24"/>
    <mergeCell ref="AN24:AP24"/>
    <mergeCell ref="AQ24:AS24"/>
    <mergeCell ref="X25:Y25"/>
    <mergeCell ref="Z25:AB25"/>
    <mergeCell ref="AC25:AE25"/>
    <mergeCell ref="AI25:AM25"/>
    <mergeCell ref="AN25:AP25"/>
    <mergeCell ref="AQ25:AS25"/>
    <mergeCell ref="X26:Y26"/>
    <mergeCell ref="Z26:AB26"/>
    <mergeCell ref="AC26:AE26"/>
    <mergeCell ref="BB24:BC24"/>
    <mergeCell ref="BB25:BC25"/>
    <mergeCell ref="BB26:BC26"/>
    <mergeCell ref="BB27:BC27"/>
    <mergeCell ref="AI26:AM26"/>
    <mergeCell ref="AN26:AP26"/>
    <mergeCell ref="AQ26:AS26"/>
    <mergeCell ref="B23:C23"/>
    <mergeCell ref="U24:W24"/>
    <mergeCell ref="B25:C25"/>
    <mergeCell ref="D25:F25"/>
    <mergeCell ref="G25:I25"/>
    <mergeCell ref="S14:W14"/>
    <mergeCell ref="L14:R14"/>
    <mergeCell ref="L15:R15"/>
    <mergeCell ref="L16:R16"/>
    <mergeCell ref="L17:R17"/>
    <mergeCell ref="L19:R19"/>
    <mergeCell ref="S15:W15"/>
    <mergeCell ref="S16:W16"/>
    <mergeCell ref="S17:W17"/>
    <mergeCell ref="S19:W19"/>
    <mergeCell ref="B17:E17"/>
    <mergeCell ref="L12:W12"/>
    <mergeCell ref="L18:R18"/>
    <mergeCell ref="L20:R20"/>
    <mergeCell ref="S18:W18"/>
    <mergeCell ref="S20:W20"/>
    <mergeCell ref="D23:F23"/>
    <mergeCell ref="G23:I23"/>
    <mergeCell ref="U23:W23"/>
    <mergeCell ref="B12:E12"/>
    <mergeCell ref="B18:E18"/>
    <mergeCell ref="B19:E19"/>
    <mergeCell ref="B20:E20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B13:E13"/>
    <mergeCell ref="B14:E14"/>
    <mergeCell ref="B15:E15"/>
    <mergeCell ref="B6:J6"/>
    <mergeCell ref="B8:E8"/>
    <mergeCell ref="F8:J8"/>
    <mergeCell ref="B9:E9"/>
    <mergeCell ref="F9:J9"/>
    <mergeCell ref="B10:E10"/>
    <mergeCell ref="F10:J10"/>
    <mergeCell ref="U6:W6"/>
    <mergeCell ref="L6:T6"/>
    <mergeCell ref="L8:R8"/>
    <mergeCell ref="S8:W8"/>
    <mergeCell ref="L9:R9"/>
    <mergeCell ref="S9:W9"/>
    <mergeCell ref="L10:R10"/>
    <mergeCell ref="S10:W10"/>
    <mergeCell ref="L7:W7"/>
    <mergeCell ref="B7:J7"/>
    <mergeCell ref="B1:T1"/>
    <mergeCell ref="B16:E16"/>
    <mergeCell ref="L11:R11"/>
    <mergeCell ref="S11:W11"/>
    <mergeCell ref="L13:R13"/>
    <mergeCell ref="S13:W13"/>
    <mergeCell ref="CH3:CI4"/>
    <mergeCell ref="BF6:BG6"/>
    <mergeCell ref="BF7:BG7"/>
    <mergeCell ref="BH6:BI6"/>
    <mergeCell ref="BJ6:BK7"/>
    <mergeCell ref="BK3:BL4"/>
    <mergeCell ref="BH7:BI7"/>
    <mergeCell ref="B11:E11"/>
    <mergeCell ref="F11:J11"/>
    <mergeCell ref="X9:AA9"/>
    <mergeCell ref="AB9:AF9"/>
    <mergeCell ref="AH9:AN9"/>
    <mergeCell ref="AO9:AS9"/>
    <mergeCell ref="X10:AA10"/>
    <mergeCell ref="AB10:AF10"/>
    <mergeCell ref="AH10:AN10"/>
    <mergeCell ref="AO10:AS10"/>
    <mergeCell ref="CG12:CH13"/>
    <mergeCell ref="X11:AA11"/>
    <mergeCell ref="X1:AT1"/>
    <mergeCell ref="X6:AF6"/>
    <mergeCell ref="AH6:AP6"/>
    <mergeCell ref="AQ6:AS6"/>
    <mergeCell ref="X7:AF7"/>
    <mergeCell ref="AH7:AS7"/>
    <mergeCell ref="X8:AA8"/>
    <mergeCell ref="AB8:AF8"/>
    <mergeCell ref="AH8:AN8"/>
    <mergeCell ref="AO8:AS8"/>
    <mergeCell ref="AB11:AF11"/>
    <mergeCell ref="AH11:AN11"/>
    <mergeCell ref="AO11:AS11"/>
    <mergeCell ref="X12:AA12"/>
    <mergeCell ref="AB12:AF12"/>
    <mergeCell ref="AH12:AS12"/>
    <mergeCell ref="X13:AA13"/>
    <mergeCell ref="AB13:AF13"/>
    <mergeCell ref="AH13:AN13"/>
    <mergeCell ref="AO13:AS13"/>
    <mergeCell ref="X16:AA16"/>
    <mergeCell ref="AB16:AF16"/>
    <mergeCell ref="AH16:AN16"/>
    <mergeCell ref="AO16:AS16"/>
    <mergeCell ref="AO14:AS14"/>
    <mergeCell ref="X15:AA15"/>
    <mergeCell ref="AB15:AF15"/>
    <mergeCell ref="AH15:AN15"/>
    <mergeCell ref="AO15:AS15"/>
    <mergeCell ref="X14:AA14"/>
    <mergeCell ref="AB14:AF14"/>
    <mergeCell ref="AH14:AN14"/>
    <mergeCell ref="X17:AA17"/>
    <mergeCell ref="AB17:AF17"/>
    <mergeCell ref="AH17:AN17"/>
    <mergeCell ref="AO17:AS17"/>
    <mergeCell ref="X18:AA18"/>
    <mergeCell ref="AB18:AF18"/>
    <mergeCell ref="AH18:AN18"/>
    <mergeCell ref="AO18:AS18"/>
    <mergeCell ref="X19:AA19"/>
    <mergeCell ref="AB19:AF19"/>
    <mergeCell ref="AH19:AN19"/>
    <mergeCell ref="AO19:AS19"/>
    <mergeCell ref="X20:AA20"/>
    <mergeCell ref="AB20:AF20"/>
    <mergeCell ref="AH20:AN20"/>
    <mergeCell ref="AO20:AS20"/>
    <mergeCell ref="X23:Y23"/>
    <mergeCell ref="Z23:AB23"/>
    <mergeCell ref="AC23:AE23"/>
    <mergeCell ref="AI23:AM23"/>
    <mergeCell ref="AN23:AP23"/>
    <mergeCell ref="AQ23:AS23"/>
    <mergeCell ref="X27:Y27"/>
    <mergeCell ref="Z27:AB27"/>
    <mergeCell ref="AC27:AE27"/>
    <mergeCell ref="AI27:AM27"/>
    <mergeCell ref="AN27:AP27"/>
    <mergeCell ref="AQ27:AS27"/>
    <mergeCell ref="X28:Y28"/>
    <mergeCell ref="Z28:AB28"/>
    <mergeCell ref="AC28:AE28"/>
    <mergeCell ref="AI28:AM28"/>
    <mergeCell ref="AN28:AP28"/>
    <mergeCell ref="AQ28:AS28"/>
    <mergeCell ref="X29:Y29"/>
    <mergeCell ref="Z29:AB29"/>
    <mergeCell ref="AC29:AE29"/>
    <mergeCell ref="AI29:AM29"/>
    <mergeCell ref="AN29:AP29"/>
    <mergeCell ref="AQ29:AS29"/>
    <mergeCell ref="X30:Y30"/>
    <mergeCell ref="Z30:AB30"/>
    <mergeCell ref="AC30:AE30"/>
    <mergeCell ref="AI30:AM30"/>
    <mergeCell ref="AN30:AP30"/>
    <mergeCell ref="AQ30:AS30"/>
    <mergeCell ref="X33:AD33"/>
    <mergeCell ref="X34:AD34"/>
    <mergeCell ref="X35:AD35"/>
    <mergeCell ref="X36:AD36"/>
    <mergeCell ref="X37:AD37"/>
    <mergeCell ref="X38:AD38"/>
    <mergeCell ref="X39:AD39"/>
    <mergeCell ref="X40:AD40"/>
    <mergeCell ref="X41:AD41"/>
    <mergeCell ref="X42:AD42"/>
    <mergeCell ref="X43:AD43"/>
    <mergeCell ref="AA48:AG48"/>
    <mergeCell ref="AA49:AG49"/>
    <mergeCell ref="AA50:AG50"/>
    <mergeCell ref="AA51:AG51"/>
    <mergeCell ref="AK56:AO56"/>
    <mergeCell ref="AK57:AO57"/>
    <mergeCell ref="AK58:AO58"/>
    <mergeCell ref="AK59:AO59"/>
    <mergeCell ref="AK60:AO60"/>
    <mergeCell ref="AK61:AO61"/>
    <mergeCell ref="X75:AG75"/>
    <mergeCell ref="AH75:AS75"/>
    <mergeCell ref="X76:Z76"/>
    <mergeCell ref="AA76:AD76"/>
    <mergeCell ref="AE76:AG76"/>
    <mergeCell ref="AH76:AK76"/>
    <mergeCell ref="AL76:AN76"/>
    <mergeCell ref="AO76:AS76"/>
    <mergeCell ref="AK62:AO62"/>
    <mergeCell ref="AK63:AO63"/>
    <mergeCell ref="AK64:AO64"/>
    <mergeCell ref="AK65:AO65"/>
    <mergeCell ref="AK66:AO66"/>
    <mergeCell ref="AK67:AO67"/>
    <mergeCell ref="AD71:AG71"/>
    <mergeCell ref="AD72:AG72"/>
    <mergeCell ref="AK73:AN73"/>
  </mergeCells>
  <phoneticPr fontId="28" type="noConversion"/>
  <conditionalFormatting sqref="B31:AS31">
    <cfRule type="cellIs" dxfId="16" priority="43" stopIfTrue="1" operator="equal">
      <formula>"Fields marked with * are mandatory (height can be recorded in either cm OR feet &amp; inches)"</formula>
    </cfRule>
  </conditionalFormatting>
  <conditionalFormatting sqref="F8 AB8">
    <cfRule type="expression" dxfId="15" priority="29">
      <formula>ISBLANK($F$8)</formula>
    </cfRule>
  </conditionalFormatting>
  <conditionalFormatting sqref="F13 AB13">
    <cfRule type="expression" dxfId="14" priority="31" stopIfTrue="1">
      <formula>ISBLANK($F$13)</formula>
    </cfRule>
  </conditionalFormatting>
  <conditionalFormatting sqref="F14:F15 AB14:AB15">
    <cfRule type="expression" dxfId="13" priority="35" stopIfTrue="1">
      <formula>AND(ISBLANK($F$14),ISBLANK($F$15))</formula>
    </cfRule>
  </conditionalFormatting>
  <conditionalFormatting sqref="F15 AB15">
    <cfRule type="expression" dxfId="12" priority="37" stopIfTrue="1">
      <formula>AND($F$14&lt;&gt;"",$F$15&lt;&gt;"")</formula>
    </cfRule>
  </conditionalFormatting>
  <conditionalFormatting sqref="F16 AB16">
    <cfRule type="expression" dxfId="11" priority="38" stopIfTrue="1">
      <formula>AND(ISBLANK($F$16),ISBLANK($F$14))</formula>
    </cfRule>
    <cfRule type="expression" dxfId="10" priority="39" stopIfTrue="1">
      <formula>AND($F$14&lt;&gt;"",$F$15&lt;&gt;"",$F$16&lt;&gt;"")</formula>
    </cfRule>
    <cfRule type="expression" dxfId="9" priority="40" stopIfTrue="1">
      <formula>AND($F$14&lt;&gt;"",$F$16&lt;&gt;"")</formula>
    </cfRule>
  </conditionalFormatting>
  <conditionalFormatting sqref="F17 AB17">
    <cfRule type="expression" dxfId="8" priority="34" stopIfTrue="1">
      <formula>ISBLANK($F$17)</formula>
    </cfRule>
  </conditionalFormatting>
  <conditionalFormatting sqref="F18 AB18">
    <cfRule type="expression" dxfId="7" priority="33" stopIfTrue="1">
      <formula>ISBLANK($F$18)</formula>
    </cfRule>
  </conditionalFormatting>
  <conditionalFormatting sqref="F19 AB19">
    <cfRule type="expression" dxfId="6" priority="32" stopIfTrue="1">
      <formula>ISBLANK($F$19)</formula>
    </cfRule>
  </conditionalFormatting>
  <conditionalFormatting sqref="F9:J9 AB9:AF9">
    <cfRule type="expression" dxfId="5" priority="24">
      <formula>ISBLANK($F$9)</formula>
    </cfRule>
    <cfRule type="expression" priority="25">
      <formula>ISBLANK($F$9)</formula>
    </cfRule>
  </conditionalFormatting>
  <conditionalFormatting sqref="F10:J10 AB10:AF10">
    <cfRule type="expression" dxfId="4" priority="23">
      <formula>ISBLANK($F$10)</formula>
    </cfRule>
  </conditionalFormatting>
  <conditionalFormatting sqref="F11:J11 AB11:AF11">
    <cfRule type="expression" dxfId="3" priority="22">
      <formula>ISBLANK($F$11)</formula>
    </cfRule>
  </conditionalFormatting>
  <conditionalFormatting sqref="F12:J12 AB12:AF12">
    <cfRule type="expression" dxfId="2" priority="21">
      <formula>ISBLANK($F$12)</formula>
    </cfRule>
  </conditionalFormatting>
  <conditionalFormatting sqref="I40:L41 AE40:AH41 I43:L43 AE43:AH43">
    <cfRule type="expression" dxfId="1" priority="54" stopIfTrue="1">
      <formula>$B$36="48 hrs"</formula>
    </cfRule>
  </conditionalFormatting>
  <conditionalFormatting sqref="I42:L42 AE42:AH42">
    <cfRule type="expression" dxfId="0" priority="56" stopIfTrue="1">
      <formula>$B$36="48 hrs"</formula>
    </cfRule>
  </conditionalFormatting>
  <dataValidations xWindow="268" yWindow="219" count="3">
    <dataValidation allowBlank="1" showErrorMessage="1" prompt=" " sqref="F15" xr:uid="{00000000-0002-0000-0000-000000000000}"/>
    <dataValidation type="list" showInputMessage="1" showErrorMessage="1" sqref="F12" xr:uid="{00000000-0002-0000-0000-000001000000}">
      <formula1>"10-15,15-20"</formula1>
    </dataValidation>
    <dataValidation type="list" allowBlank="1" showInputMessage="1" showErrorMessage="1" sqref="F18:J18" xr:uid="{AB4AC729-1047-409F-B700-95CB2DFD07C9}">
      <formula1>"Male, Female"</formula1>
    </dataValidation>
  </dataValidations>
  <hyperlinks>
    <hyperlink ref="B4" r:id="rId1" display="mailto:Linda.M.Robertson@luht.scot.nhs.uk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  <headerFooter alignWithMargins="0"/>
  <colBreaks count="2" manualBreakCount="2">
    <brk id="23" max="44" man="1"/>
    <brk id="46" max="44" man="1"/>
  </colBreaks>
  <ignoredErrors>
    <ignoredError sqref="S1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43"/>
  <sheetViews>
    <sheetView view="pageBreakPreview" topLeftCell="B1" zoomScale="60" zoomScaleNormal="75" workbookViewId="0">
      <selection activeCell="B40" sqref="B40"/>
    </sheetView>
  </sheetViews>
  <sheetFormatPr defaultColWidth="9.140625" defaultRowHeight="12.75" x14ac:dyDescent="0.2"/>
  <cols>
    <col min="1" max="1" width="9.42578125" style="55" customWidth="1"/>
    <col min="2" max="2" width="30.7109375" style="73" customWidth="1"/>
    <col min="3" max="3" width="12.42578125" style="73" customWidth="1"/>
    <col min="4" max="4" width="41.140625" style="73" customWidth="1"/>
    <col min="5" max="5" width="35.42578125" style="73" customWidth="1"/>
    <col min="6" max="6" width="37.140625" style="73" customWidth="1"/>
    <col min="7" max="7" width="23.42578125" style="73" customWidth="1"/>
    <col min="8" max="8" width="10.140625" style="55" customWidth="1"/>
    <col min="9" max="9" width="24.28515625" style="55" customWidth="1"/>
    <col min="10" max="10" width="12" style="83" customWidth="1"/>
    <col min="11" max="11" width="14.85546875" style="83" customWidth="1"/>
    <col min="12" max="12" width="44.28515625" style="83" customWidth="1"/>
    <col min="13" max="13" width="24.42578125" style="83" customWidth="1"/>
    <col min="14" max="14" width="48.85546875" style="83" customWidth="1"/>
    <col min="15" max="15" width="9.140625" style="55"/>
    <col min="16" max="16" width="8.7109375" style="55" customWidth="1"/>
    <col min="17" max="16384" width="9.140625" style="55"/>
  </cols>
  <sheetData>
    <row r="1" spans="1:29" ht="13.5" customHeight="1" x14ac:dyDescent="0.2">
      <c r="Q1" s="54"/>
      <c r="R1" s="63"/>
    </row>
    <row r="2" spans="1:29" s="70" customFormat="1" ht="14.25" customHeight="1" x14ac:dyDescent="0.25">
      <c r="A2" s="55"/>
      <c r="B2" s="73"/>
      <c r="C2" s="73"/>
      <c r="D2" s="73"/>
      <c r="E2" s="73"/>
      <c r="F2" s="73"/>
      <c r="G2" s="81"/>
      <c r="H2" s="64"/>
      <c r="I2" s="65" t="s">
        <v>0</v>
      </c>
      <c r="J2" s="66"/>
      <c r="K2" s="67"/>
      <c r="L2" s="68" t="s">
        <v>1</v>
      </c>
      <c r="N2" s="69"/>
      <c r="Q2" s="54"/>
      <c r="R2" s="63"/>
    </row>
    <row r="3" spans="1:29" s="71" customFormat="1" ht="22.5" customHeight="1" x14ac:dyDescent="0.2">
      <c r="A3" s="55"/>
      <c r="B3" s="73"/>
      <c r="C3" s="73"/>
      <c r="D3" s="73"/>
      <c r="E3" s="73"/>
      <c r="F3" s="73"/>
      <c r="G3" s="84"/>
      <c r="H3" s="2"/>
      <c r="I3" s="3" t="s">
        <v>3</v>
      </c>
      <c r="J3" s="3" t="s">
        <v>4</v>
      </c>
      <c r="K3" s="76" t="s">
        <v>5</v>
      </c>
      <c r="L3" s="77" t="s">
        <v>6</v>
      </c>
      <c r="M3" s="78" t="s">
        <v>7</v>
      </c>
      <c r="O3" s="79"/>
      <c r="P3" s="79"/>
      <c r="Q3" s="85"/>
      <c r="R3" s="86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</row>
    <row r="4" spans="1:29" s="72" customFormat="1" ht="22.5" customHeight="1" x14ac:dyDescent="0.2">
      <c r="A4" s="55"/>
      <c r="B4" s="73"/>
      <c r="C4" s="73"/>
      <c r="D4" s="73"/>
      <c r="E4" s="73"/>
      <c r="F4" s="73"/>
      <c r="G4" s="6" t="s">
        <v>9</v>
      </c>
      <c r="H4" s="7">
        <v>500</v>
      </c>
      <c r="I4" s="8">
        <v>48</v>
      </c>
      <c r="J4" s="8"/>
      <c r="K4" s="9" t="s">
        <v>10</v>
      </c>
      <c r="L4" s="5" t="s">
        <v>11</v>
      </c>
      <c r="M4" s="10"/>
      <c r="N4" s="10"/>
      <c r="O4" s="85"/>
      <c r="P4" s="86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9" ht="27.75" customHeight="1" x14ac:dyDescent="0.2">
      <c r="G5" s="6" t="s">
        <v>13</v>
      </c>
      <c r="H5" s="7">
        <v>500</v>
      </c>
      <c r="I5" s="8">
        <v>24</v>
      </c>
      <c r="J5" s="8"/>
      <c r="K5" s="9" t="s">
        <v>13</v>
      </c>
      <c r="L5" s="5">
        <v>250</v>
      </c>
      <c r="M5" s="12"/>
      <c r="N5" s="12"/>
      <c r="O5" s="85"/>
      <c r="P5" s="86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9" ht="26.25" customHeight="1" x14ac:dyDescent="0.2">
      <c r="G6" s="6" t="s">
        <v>15</v>
      </c>
      <c r="H6" s="7">
        <v>750</v>
      </c>
      <c r="I6" s="8">
        <v>24</v>
      </c>
      <c r="J6" s="8"/>
      <c r="K6" s="9" t="s">
        <v>15</v>
      </c>
      <c r="L6" s="5">
        <v>375</v>
      </c>
      <c r="M6" s="12"/>
      <c r="N6" s="12"/>
      <c r="O6" s="85"/>
      <c r="P6" s="86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9" ht="23.25" customHeight="1" x14ac:dyDescent="0.2">
      <c r="G7" s="6" t="s">
        <v>17</v>
      </c>
      <c r="H7" s="7">
        <v>500</v>
      </c>
      <c r="I7" s="8">
        <v>12</v>
      </c>
      <c r="J7" s="8"/>
      <c r="K7" s="9" t="s">
        <v>17</v>
      </c>
      <c r="L7" s="5">
        <v>500</v>
      </c>
      <c r="M7" s="12"/>
      <c r="N7" s="12"/>
      <c r="O7" s="85"/>
      <c r="P7" s="86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9" ht="33" customHeight="1" x14ac:dyDescent="0.2">
      <c r="G8" s="6" t="s">
        <v>18</v>
      </c>
      <c r="H8" s="7">
        <v>750</v>
      </c>
      <c r="I8" s="14">
        <v>12</v>
      </c>
      <c r="J8" s="8"/>
      <c r="K8" s="9" t="s">
        <v>18</v>
      </c>
      <c r="L8" s="5">
        <v>750</v>
      </c>
      <c r="M8" s="12"/>
      <c r="N8" s="12"/>
      <c r="O8" s="85"/>
      <c r="P8" s="86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9" ht="26.25" customHeight="1" x14ac:dyDescent="0.2">
      <c r="G9" s="6" t="s">
        <v>21</v>
      </c>
      <c r="H9" s="7">
        <v>1000</v>
      </c>
      <c r="I9" s="14">
        <v>12</v>
      </c>
      <c r="J9" s="8"/>
      <c r="K9" s="9" t="s">
        <v>21</v>
      </c>
      <c r="L9" s="5">
        <v>1000</v>
      </c>
      <c r="M9" s="12"/>
      <c r="N9" s="12"/>
      <c r="O9" s="85"/>
      <c r="P9" s="86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9" ht="26.25" customHeight="1" x14ac:dyDescent="0.2">
      <c r="G10" s="6" t="s">
        <v>22</v>
      </c>
      <c r="H10" s="7">
        <v>1250</v>
      </c>
      <c r="I10" s="8">
        <v>12</v>
      </c>
      <c r="J10" s="8"/>
      <c r="K10" s="15" t="s">
        <v>22</v>
      </c>
      <c r="L10" s="8">
        <v>1250</v>
      </c>
      <c r="M10" s="12"/>
      <c r="N10" s="12"/>
      <c r="O10" s="85"/>
      <c r="P10" s="86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9" ht="44.25" customHeight="1" thickBot="1" x14ac:dyDescent="0.25">
      <c r="G11" s="6" t="s">
        <v>24</v>
      </c>
      <c r="H11" s="7">
        <v>1500</v>
      </c>
      <c r="I11" s="8">
        <v>12</v>
      </c>
      <c r="J11" s="8"/>
      <c r="K11" s="16" t="s">
        <v>24</v>
      </c>
      <c r="L11" s="8">
        <v>1500</v>
      </c>
      <c r="M11" s="12"/>
      <c r="N11" s="12"/>
      <c r="O11" s="85"/>
      <c r="P11" s="86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9" ht="41.25" customHeight="1" x14ac:dyDescent="0.25">
      <c r="A12" s="70"/>
      <c r="B12" s="537" t="s">
        <v>101</v>
      </c>
      <c r="C12" s="538"/>
      <c r="D12" s="538"/>
      <c r="E12" s="538"/>
      <c r="F12" s="539"/>
      <c r="G12" s="3"/>
      <c r="H12" s="17" t="s">
        <v>25</v>
      </c>
      <c r="I12" s="18" t="s">
        <v>5</v>
      </c>
      <c r="J12" s="4"/>
      <c r="K12" s="4"/>
      <c r="L12" s="19" t="s">
        <v>25</v>
      </c>
      <c r="M12" s="12"/>
      <c r="N12" s="12"/>
      <c r="O12" s="85"/>
      <c r="P12" s="86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9" ht="39.75" customHeight="1" thickBot="1" x14ac:dyDescent="0.25">
      <c r="A13" s="71"/>
      <c r="D13" s="543" t="s">
        <v>2</v>
      </c>
      <c r="E13" s="544"/>
      <c r="F13" s="545"/>
      <c r="G13" s="20"/>
      <c r="H13" s="4">
        <f>IF($C$25&lt;20,H4,0)</f>
        <v>0</v>
      </c>
      <c r="I13" s="4">
        <f>IF($C$25&lt;20,I4,0)</f>
        <v>0</v>
      </c>
      <c r="J13" s="4"/>
      <c r="K13" s="4"/>
      <c r="L13" s="4">
        <f>IF(C25&lt;20,L4,0)</f>
        <v>0</v>
      </c>
      <c r="M13" s="12"/>
      <c r="N13" s="12"/>
      <c r="O13" s="85"/>
      <c r="P13" s="86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9" ht="42" customHeight="1" x14ac:dyDescent="0.35">
      <c r="A14" s="72"/>
      <c r="D14" s="540" t="s">
        <v>100</v>
      </c>
      <c r="E14" s="541"/>
      <c r="F14" s="542"/>
      <c r="G14" s="20"/>
      <c r="H14" s="4">
        <f>IF(AND($C$25&gt;=20,$C$25&lt;30),H5,0)</f>
        <v>0</v>
      </c>
      <c r="I14" s="4">
        <f>IF(AND($C$25&gt;=20,$C$25&lt;30),I5,0)</f>
        <v>0</v>
      </c>
      <c r="J14" s="4"/>
      <c r="K14" s="4"/>
      <c r="L14" s="4">
        <f>IF(AND($C$25&gt;=20,$C$25&lt;30),L5,0)</f>
        <v>0</v>
      </c>
      <c r="M14" s="12"/>
      <c r="N14" s="12"/>
      <c r="O14" s="85"/>
      <c r="P14" s="86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9" ht="28.5" customHeight="1" x14ac:dyDescent="0.35">
      <c r="D15" s="552" t="str">
        <f>IF(J$29&gt;0,I$24,"")</f>
        <v>1500 mg over 3 hours</v>
      </c>
      <c r="E15" s="553"/>
      <c r="F15" s="554"/>
      <c r="G15" s="20"/>
      <c r="H15" s="4">
        <f>IF(AND($C$25&gt;=30,$C$25&lt;40),H6,0)</f>
        <v>0</v>
      </c>
      <c r="I15" s="4">
        <f>IF(AND($C$25&gt;=30,$C$25&lt;40),I6,0)</f>
        <v>0</v>
      </c>
      <c r="J15" s="4"/>
      <c r="K15" s="4"/>
      <c r="L15" s="4">
        <f>IF(AND($C$25&gt;=30,$C$25&lt;40),L6,0)</f>
        <v>0</v>
      </c>
      <c r="M15" s="12"/>
      <c r="N15" s="12"/>
      <c r="O15" s="85"/>
      <c r="P15" s="86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9" ht="20.25" customHeight="1" thickBot="1" x14ac:dyDescent="0.4">
      <c r="B16" s="533" t="s">
        <v>90</v>
      </c>
      <c r="C16" s="534"/>
      <c r="D16" s="546" t="s">
        <v>102</v>
      </c>
      <c r="E16" s="547"/>
      <c r="F16" s="548"/>
      <c r="G16" s="20"/>
      <c r="H16" s="4">
        <f>IF(AND($C$25&gt;=40,$C$25&lt;55),H7,0)</f>
        <v>0</v>
      </c>
      <c r="I16" s="4">
        <f>IF(AND($C$25&gt;=40,$C$25&lt;55),I7,0)</f>
        <v>0</v>
      </c>
      <c r="J16" s="4"/>
      <c r="K16" s="4"/>
      <c r="L16" s="4">
        <f>IF(AND($C$25&gt;=40,$C$25&lt;55),L7,0)</f>
        <v>0</v>
      </c>
      <c r="M16" s="12"/>
      <c r="N16" s="12"/>
      <c r="O16" s="85"/>
      <c r="P16" s="8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9" ht="24.75" customHeight="1" thickBot="1" x14ac:dyDescent="0.25">
      <c r="B17" s="535" t="s">
        <v>8</v>
      </c>
      <c r="C17" s="536"/>
      <c r="D17" s="549" t="s">
        <v>96</v>
      </c>
      <c r="E17" s="550"/>
      <c r="F17" s="551"/>
      <c r="G17" s="20"/>
      <c r="H17" s="4">
        <f>IF(AND($C$25&gt;=55,$C$25&lt;75),H8,0)</f>
        <v>0</v>
      </c>
      <c r="I17" s="4">
        <f>IF(AND($C$25&gt;=55,$C$25&lt;75),I8,0)</f>
        <v>0</v>
      </c>
      <c r="J17" s="4"/>
      <c r="K17" s="4"/>
      <c r="L17" s="4">
        <f>IF(AND($C$25&gt;=55,$C$25&lt;75),L8,0)</f>
        <v>0</v>
      </c>
      <c r="M17" s="12"/>
      <c r="N17" s="12"/>
      <c r="O17" s="85"/>
      <c r="P17" s="8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9" ht="18.75" customHeight="1" thickBot="1" x14ac:dyDescent="0.25">
      <c r="B18" s="95" t="s">
        <v>12</v>
      </c>
      <c r="C18" s="98">
        <v>25</v>
      </c>
      <c r="D18" s="97" t="s">
        <v>98</v>
      </c>
      <c r="E18" s="105" t="s">
        <v>95</v>
      </c>
      <c r="F18" s="106"/>
      <c r="G18" s="20"/>
      <c r="H18" s="4">
        <f>IF(AND($C$25&gt;=75,$C$25&lt;90),H9,0)</f>
        <v>0</v>
      </c>
      <c r="I18" s="4">
        <f>IF(AND($C$25&gt;=75,$C$25&lt;90),I9,0)</f>
        <v>0</v>
      </c>
      <c r="J18" s="4"/>
      <c r="K18" s="4"/>
      <c r="L18" s="4">
        <f>IF(AND($C$25&gt;=75,$C$25&lt;90),L9,0)</f>
        <v>0</v>
      </c>
      <c r="M18" s="12"/>
      <c r="N18" s="12"/>
      <c r="O18" s="85"/>
      <c r="P18" s="8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9" ht="17.25" customHeight="1" x14ac:dyDescent="0.2">
      <c r="B19" s="92" t="s">
        <v>19</v>
      </c>
      <c r="C19" s="99">
        <v>170</v>
      </c>
      <c r="D19" s="555" t="s">
        <v>99</v>
      </c>
      <c r="E19" s="557">
        <f>E22</f>
        <v>12</v>
      </c>
      <c r="F19" s="564"/>
      <c r="G19" s="20"/>
      <c r="H19" s="4">
        <f>IF(AND($C$25&gt;=90,$C$25&lt;=110),H10,0)</f>
        <v>0</v>
      </c>
      <c r="I19" s="4">
        <f>IF(AND($C$25&gt;=90,$C$25&lt;=110),I10,0)</f>
        <v>0</v>
      </c>
      <c r="J19" s="4"/>
      <c r="K19" s="4"/>
      <c r="L19" s="4">
        <f>IF(AND($C$25&gt;=90,$C$25&lt;=110),L10,0)</f>
        <v>0</v>
      </c>
      <c r="M19" s="12"/>
      <c r="N19" s="12"/>
      <c r="O19" s="85"/>
      <c r="P19" s="86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9" ht="20.25" customHeight="1" x14ac:dyDescent="0.2">
      <c r="B20" s="92" t="s">
        <v>94</v>
      </c>
      <c r="C20" s="99"/>
      <c r="D20" s="556"/>
      <c r="E20" s="558"/>
      <c r="F20" s="565"/>
      <c r="G20" s="20"/>
      <c r="H20" s="4">
        <f>IF($C$25&gt;110,H11,0)</f>
        <v>1500</v>
      </c>
      <c r="I20" s="4">
        <f>IF($C$25&gt;110,I11,0)</f>
        <v>12</v>
      </c>
      <c r="J20" s="4"/>
      <c r="K20" s="4"/>
      <c r="L20" s="4">
        <f>IF($C$25&gt;110,L11,0)</f>
        <v>1500</v>
      </c>
      <c r="M20" s="12"/>
      <c r="N20" s="12"/>
      <c r="O20" s="85"/>
      <c r="P20" s="8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9" ht="20.25" x14ac:dyDescent="0.25">
      <c r="B21" s="93" t="s">
        <v>23</v>
      </c>
      <c r="C21" s="99"/>
      <c r="D21" s="112" t="s">
        <v>20</v>
      </c>
      <c r="E21" s="102">
        <f>IF(J29&gt;0,H21,"")</f>
        <v>1500</v>
      </c>
      <c r="F21" s="101"/>
      <c r="G21" s="89" t="s">
        <v>4</v>
      </c>
      <c r="H21" s="18">
        <f>SUM(H13:H20)</f>
        <v>1500</v>
      </c>
      <c r="I21" s="18">
        <f>SUM(I13:I20)</f>
        <v>12</v>
      </c>
      <c r="J21" s="18"/>
      <c r="K21" s="58" t="s">
        <v>29</v>
      </c>
      <c r="L21" s="18">
        <f>SUM(L13:L20)</f>
        <v>1500</v>
      </c>
      <c r="M21" s="12"/>
      <c r="N21" s="12"/>
      <c r="O21" s="85"/>
      <c r="P21" s="8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9" ht="20.25" x14ac:dyDescent="0.2">
      <c r="B22" s="92" t="s">
        <v>14</v>
      </c>
      <c r="C22" s="107">
        <v>80</v>
      </c>
      <c r="D22" s="112" t="s">
        <v>97</v>
      </c>
      <c r="E22" s="102">
        <f>IF(J29&gt;0,I21,"")</f>
        <v>12</v>
      </c>
      <c r="F22" s="100"/>
      <c r="G22" s="13"/>
      <c r="H22" s="12"/>
      <c r="I22" s="12"/>
      <c r="J22" s="90"/>
      <c r="K22" s="61" t="s">
        <v>4</v>
      </c>
      <c r="L22" s="75">
        <f>IF(L21&gt;0,L21,L13)</f>
        <v>1500</v>
      </c>
      <c r="M22" s="12"/>
      <c r="N22" s="12"/>
      <c r="O22" s="85"/>
      <c r="P22" s="86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9" ht="21" thickBot="1" x14ac:dyDescent="0.25">
      <c r="B23" s="92" t="s">
        <v>16</v>
      </c>
      <c r="C23" s="108" t="s">
        <v>103</v>
      </c>
      <c r="D23" s="113" t="s">
        <v>93</v>
      </c>
      <c r="E23" s="103">
        <f>IF(L30&gt;0,L30,"")</f>
        <v>3</v>
      </c>
      <c r="F23" s="104"/>
      <c r="G23" s="13"/>
      <c r="H23" s="12"/>
      <c r="I23" s="12"/>
      <c r="J23" s="90"/>
      <c r="K23" s="90"/>
      <c r="L23" s="90"/>
      <c r="M23" s="90"/>
      <c r="N23" s="90"/>
      <c r="O23" s="12"/>
      <c r="P23" s="12"/>
      <c r="Q23" s="85"/>
      <c r="R23" s="86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ht="42" customHeight="1" thickBot="1" x14ac:dyDescent="0.25">
      <c r="B24" s="96" t="s">
        <v>91</v>
      </c>
      <c r="C24" s="109">
        <v>80</v>
      </c>
      <c r="D24" s="559" t="s">
        <v>28</v>
      </c>
      <c r="E24" s="560"/>
      <c r="F24" s="561"/>
      <c r="H24" s="116" t="s">
        <v>85</v>
      </c>
      <c r="I24" s="1" t="str">
        <f>IF(C$22&lt;40,"750 mg over 1.5 hours",(IF(AND(C$22&gt;=40,C$22&lt;60),"1000 mg over 2 hours",(IF(AND(C$22&gt;=60,C$22&lt;=90),"1500 mg over 3 hours","2000 mg over 4 hours")))))</f>
        <v>1500 mg over 3 hours</v>
      </c>
      <c r="J24" s="90"/>
      <c r="K24" s="90"/>
      <c r="L24" s="90"/>
      <c r="M24" s="90"/>
      <c r="N24" s="90"/>
      <c r="O24" s="12"/>
      <c r="P24" s="12"/>
      <c r="Q24" s="85"/>
      <c r="R24" s="86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ht="23.25" x14ac:dyDescent="0.35">
      <c r="B25" s="566" t="s">
        <v>27</v>
      </c>
      <c r="C25" s="568">
        <f>IF(J29&gt;1,J29,"")</f>
        <v>111.33564000000001</v>
      </c>
      <c r="D25" s="570" t="str">
        <f>IF(AND(C19&gt;0,C20&gt;0),"!!  Please enter height in cm OR feet and inches","")</f>
        <v/>
      </c>
      <c r="E25" s="571"/>
      <c r="F25" s="572"/>
      <c r="G25" s="74"/>
      <c r="H25" s="12"/>
      <c r="I25" s="12"/>
      <c r="J25" s="90"/>
      <c r="K25" s="91"/>
      <c r="L25" s="90"/>
      <c r="M25" s="90"/>
      <c r="N25" s="90"/>
      <c r="O25" s="12"/>
      <c r="P25" s="12"/>
      <c r="Q25" s="85"/>
      <c r="R25" s="86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ht="21" thickBot="1" x14ac:dyDescent="0.35">
      <c r="A26" s="56"/>
      <c r="B26" s="567"/>
      <c r="C26" s="569"/>
      <c r="D26" s="573" t="str">
        <f>IF(AND(C18&gt;0,C18&lt;16),"CAUTION!  NOT valid for patients &lt;16 years","")</f>
        <v/>
      </c>
      <c r="E26" s="574"/>
      <c r="F26" s="575"/>
      <c r="G26" s="13"/>
      <c r="H26" s="12"/>
      <c r="I26" s="12"/>
      <c r="J26" s="90"/>
      <c r="K26" s="90"/>
      <c r="L26" s="90"/>
      <c r="M26" s="90"/>
      <c r="N26" s="90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ht="18" x14ac:dyDescent="0.25">
      <c r="A27" s="56"/>
      <c r="B27" s="562" t="s">
        <v>92</v>
      </c>
      <c r="C27" s="563"/>
      <c r="D27" s="563"/>
      <c r="E27" s="87"/>
      <c r="F27" s="82"/>
      <c r="G27" s="13"/>
      <c r="H27" s="12"/>
      <c r="I27" s="12"/>
      <c r="J27" s="90"/>
      <c r="K27" s="90"/>
      <c r="L27" s="90"/>
      <c r="M27" s="90"/>
      <c r="N27" s="90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x14ac:dyDescent="0.2">
      <c r="A28" s="56"/>
      <c r="B28" s="51"/>
      <c r="C28" s="52"/>
      <c r="D28" s="52"/>
      <c r="E28" s="13"/>
      <c r="F28" s="12"/>
      <c r="G28" s="13"/>
      <c r="H28" s="12"/>
      <c r="I28" s="12"/>
      <c r="J28" s="90"/>
      <c r="K28" s="90"/>
      <c r="L28" s="90"/>
      <c r="M28" s="90"/>
      <c r="N28" s="90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ht="15" x14ac:dyDescent="0.25">
      <c r="A29" s="56"/>
      <c r="B29" s="51"/>
      <c r="C29" s="52"/>
      <c r="D29" s="13"/>
      <c r="E29" s="53"/>
      <c r="F29" s="88"/>
      <c r="G29" s="13"/>
      <c r="H29" s="12"/>
      <c r="I29" s="58" t="s">
        <v>82</v>
      </c>
      <c r="J29" s="57">
        <f>IF(AND(C18&gt;1,C22&gt;1,C24&gt;1),(J$33*(140-$C$18)*$J$41/$J$34),0)</f>
        <v>111.33564000000001</v>
      </c>
      <c r="K29" s="60"/>
      <c r="L29" s="59">
        <f>IF(E21="",0,E21)</f>
        <v>1500</v>
      </c>
      <c r="M29" s="90"/>
      <c r="N29" s="90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ht="15" x14ac:dyDescent="0.25">
      <c r="C30" s="52"/>
      <c r="D30" s="60"/>
      <c r="E30" s="13"/>
      <c r="F30" s="13"/>
      <c r="G30" s="13"/>
      <c r="H30" s="12"/>
      <c r="I30" s="58" t="s">
        <v>84</v>
      </c>
      <c r="J30" s="59">
        <f>IF(C$19&gt;0,C$19,(C$20*12+C$21)*2.54)</f>
        <v>170</v>
      </c>
      <c r="K30" s="13"/>
      <c r="L30" s="1">
        <f>L29/500</f>
        <v>3</v>
      </c>
      <c r="M30" s="90"/>
      <c r="N30" s="90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ht="15" x14ac:dyDescent="0.25">
      <c r="C31" s="13"/>
      <c r="D31" s="60"/>
      <c r="E31" s="13"/>
      <c r="F31" s="13"/>
      <c r="G31" s="13"/>
      <c r="H31" s="12"/>
      <c r="I31" s="58" t="s">
        <v>83</v>
      </c>
      <c r="J31" s="57">
        <f>IF(J$30&gt;0,(IF(C$23="m",50+2.3*((J$39-152)/2.5),45.5+2.3*((J$39-152)/2.5))),"Not available")</f>
        <v>62.06</v>
      </c>
      <c r="K31" s="13"/>
      <c r="L31" s="19"/>
      <c r="M31" s="90"/>
      <c r="N31" s="90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ht="15" x14ac:dyDescent="0.25">
      <c r="F32" s="13"/>
      <c r="G32" s="13"/>
      <c r="H32" s="12"/>
      <c r="I32" s="58" t="s">
        <v>86</v>
      </c>
      <c r="J32" s="57">
        <f>IF(C$22=0,"",IF(J$39=0,C$22,(IF(C$22&gt;(J$40+0.2*J$40),(J$40+0.2*J$40),C$22))))</f>
        <v>74.472000000000008</v>
      </c>
      <c r="K32" s="13"/>
      <c r="L32" s="13"/>
      <c r="M32" s="90"/>
      <c r="N32" s="90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2:29" ht="15" x14ac:dyDescent="0.25">
      <c r="F33" s="13"/>
      <c r="G33" s="13"/>
      <c r="H33" s="12"/>
      <c r="I33" s="58" t="s">
        <v>87</v>
      </c>
      <c r="J33" s="62">
        <f>IF($C$23="m",1.23,IF($C$23="f",1.04,0))</f>
        <v>1.04</v>
      </c>
      <c r="K33" s="13"/>
      <c r="L33" s="13"/>
      <c r="M33" s="90"/>
      <c r="N33" s="90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2:29" x14ac:dyDescent="0.2">
      <c r="H34" s="12"/>
      <c r="I34" s="61" t="s">
        <v>88</v>
      </c>
      <c r="J34" s="75">
        <f>IF(AND(C$24&gt;0,C$24&lt;60),60,C$24)</f>
        <v>80</v>
      </c>
      <c r="K34" s="13"/>
      <c r="L34" s="13"/>
      <c r="M34" s="90"/>
      <c r="N34" s="90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2:29" x14ac:dyDescent="0.2">
      <c r="F35" s="61"/>
    </row>
    <row r="36" spans="2:29" x14ac:dyDescent="0.2">
      <c r="F36" s="13"/>
    </row>
    <row r="37" spans="2:29" x14ac:dyDescent="0.2">
      <c r="F37" s="13"/>
    </row>
    <row r="38" spans="2:29" ht="13.5" thickBot="1" x14ac:dyDescent="0.25">
      <c r="B38" s="13"/>
      <c r="C38" s="13"/>
      <c r="D38" s="13"/>
      <c r="E38" s="13"/>
      <c r="F38" s="13"/>
    </row>
    <row r="39" spans="2:29" ht="18" x14ac:dyDescent="0.2">
      <c r="B39" s="13"/>
      <c r="C39" s="13"/>
      <c r="D39" s="13"/>
      <c r="E39" s="13"/>
      <c r="F39" s="13"/>
      <c r="I39" s="94" t="s">
        <v>19</v>
      </c>
      <c r="J39" s="110">
        <f>IF(J30&gt;0,J30,"")</f>
        <v>170</v>
      </c>
    </row>
    <row r="40" spans="2:29" ht="18" x14ac:dyDescent="0.2">
      <c r="B40" s="13"/>
      <c r="C40" s="13"/>
      <c r="E40" s="13"/>
      <c r="F40" s="13"/>
      <c r="I40" s="80" t="s">
        <v>26</v>
      </c>
      <c r="J40" s="111">
        <f>IF(J39&gt;0,J31,"")</f>
        <v>62.06</v>
      </c>
    </row>
    <row r="41" spans="2:29" ht="54" x14ac:dyDescent="0.2">
      <c r="B41" s="13"/>
      <c r="C41" s="13"/>
      <c r="E41" s="13"/>
      <c r="F41" s="13"/>
      <c r="I41" s="114" t="s">
        <v>89</v>
      </c>
      <c r="J41" s="115">
        <f>IF(C$22=0,"",IF(J$30=0,C$22,J$32))</f>
        <v>74.472000000000008</v>
      </c>
    </row>
    <row r="42" spans="2:29" x14ac:dyDescent="0.2">
      <c r="F42" s="13"/>
    </row>
    <row r="43" spans="2:29" x14ac:dyDescent="0.2">
      <c r="F43" s="13"/>
    </row>
  </sheetData>
  <sheetProtection selectLockedCells="1"/>
  <mergeCells count="17">
    <mergeCell ref="D19:D20"/>
    <mergeCell ref="E19:E20"/>
    <mergeCell ref="D24:F24"/>
    <mergeCell ref="B27:D27"/>
    <mergeCell ref="F19:F20"/>
    <mergeCell ref="B25:B26"/>
    <mergeCell ref="C25:C26"/>
    <mergeCell ref="D25:F25"/>
    <mergeCell ref="D26:F26"/>
    <mergeCell ref="B16:C16"/>
    <mergeCell ref="B17:C17"/>
    <mergeCell ref="B12:F12"/>
    <mergeCell ref="D14:F14"/>
    <mergeCell ref="D13:F13"/>
    <mergeCell ref="D16:F16"/>
    <mergeCell ref="D17:F17"/>
    <mergeCell ref="D15:F15"/>
  </mergeCells>
  <phoneticPr fontId="28" type="noConversion"/>
  <dataValidations xWindow="268" yWindow="219" count="2">
    <dataValidation type="decimal" allowBlank="1" showInputMessage="1" showErrorMessage="1" error="Please enter weight using a decimal point, not a comma" sqref="C22" xr:uid="{00000000-0002-0000-0100-000000000000}">
      <formula1>0</formula1>
      <formula2>200</formula2>
    </dataValidation>
    <dataValidation allowBlank="1" showErrorMessage="1" prompt=" " sqref="C20" xr:uid="{00000000-0002-0000-0100-000001000000}"/>
  </dataValidations>
  <pageMargins left="0.75" right="0.75" top="1" bottom="1" header="0.5" footer="0.5"/>
  <pageSetup paperSize="9" scale="35" orientation="landscape" horizontalDpi="4294967293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J18"/>
  <sheetViews>
    <sheetView showGridLines="0" showRowColHeaders="0" zoomScale="70" workbookViewId="0">
      <selection activeCell="E12" sqref="E12"/>
    </sheetView>
  </sheetViews>
  <sheetFormatPr defaultRowHeight="12.75" x14ac:dyDescent="0.2"/>
  <cols>
    <col min="1" max="1" width="3.42578125" customWidth="1"/>
    <col min="2" max="2" width="24.42578125" customWidth="1"/>
    <col min="3" max="3" width="31.42578125" customWidth="1"/>
    <col min="4" max="4" width="38.7109375" customWidth="1"/>
    <col min="5" max="5" width="4.7109375" customWidth="1"/>
    <col min="6" max="6" width="3.140625" customWidth="1"/>
    <col min="7" max="7" width="31.5703125" customWidth="1"/>
    <col min="8" max="8" width="30.42578125" customWidth="1"/>
    <col min="9" max="9" width="20" customWidth="1"/>
    <col min="10" max="10" width="12" customWidth="1"/>
  </cols>
  <sheetData>
    <row r="1" spans="2:10" ht="13.5" thickBot="1" x14ac:dyDescent="0.25"/>
    <row r="2" spans="2:10" ht="33.75" customHeight="1" thickBot="1" x14ac:dyDescent="0.25">
      <c r="B2" s="576" t="s">
        <v>39</v>
      </c>
      <c r="C2" s="577"/>
      <c r="D2" s="578"/>
      <c r="E2" s="22"/>
      <c r="F2" s="579" t="s">
        <v>43</v>
      </c>
      <c r="G2" s="580"/>
      <c r="H2" s="580"/>
      <c r="I2" s="580"/>
      <c r="J2" s="581"/>
    </row>
    <row r="3" spans="2:10" ht="33.75" customHeight="1" thickBot="1" x14ac:dyDescent="0.25">
      <c r="B3" s="23" t="s">
        <v>48</v>
      </c>
      <c r="C3" s="582" t="s">
        <v>4</v>
      </c>
      <c r="D3" s="583"/>
      <c r="E3" s="24"/>
      <c r="F3" s="584" t="s">
        <v>77</v>
      </c>
      <c r="G3" s="585"/>
      <c r="H3" s="585"/>
      <c r="I3" s="585"/>
      <c r="J3" s="586"/>
    </row>
    <row r="4" spans="2:10" ht="33.75" customHeight="1" x14ac:dyDescent="0.2">
      <c r="B4" s="33" t="s">
        <v>40</v>
      </c>
      <c r="C4" s="590" t="s">
        <v>81</v>
      </c>
      <c r="D4" s="591"/>
      <c r="E4" s="32"/>
      <c r="F4" s="587"/>
      <c r="G4" s="588"/>
      <c r="H4" s="588"/>
      <c r="I4" s="588"/>
      <c r="J4" s="589"/>
    </row>
    <row r="5" spans="2:10" ht="33.75" customHeight="1" x14ac:dyDescent="0.2">
      <c r="B5" s="34" t="s">
        <v>49</v>
      </c>
      <c r="C5" s="603" t="s">
        <v>51</v>
      </c>
      <c r="D5" s="604"/>
      <c r="E5" s="32"/>
      <c r="F5" s="26" t="s">
        <v>44</v>
      </c>
      <c r="G5" s="594" t="s">
        <v>78</v>
      </c>
      <c r="H5" s="605"/>
      <c r="I5" s="605"/>
      <c r="J5" s="596"/>
    </row>
    <row r="6" spans="2:10" ht="33.75" customHeight="1" x14ac:dyDescent="0.2">
      <c r="B6" s="35" t="s">
        <v>80</v>
      </c>
      <c r="C6" s="603" t="s">
        <v>52</v>
      </c>
      <c r="D6" s="604"/>
      <c r="E6" s="32"/>
      <c r="F6" s="36" t="s">
        <v>45</v>
      </c>
      <c r="G6" s="606" t="s">
        <v>63</v>
      </c>
      <c r="H6" s="595"/>
      <c r="I6" s="595"/>
      <c r="J6" s="27"/>
    </row>
    <row r="7" spans="2:10" ht="27.75" customHeight="1" thickBot="1" x14ac:dyDescent="0.25">
      <c r="B7" s="37" t="s">
        <v>50</v>
      </c>
      <c r="C7" s="592" t="s">
        <v>53</v>
      </c>
      <c r="D7" s="593"/>
      <c r="E7" s="32"/>
      <c r="F7" s="36" t="s">
        <v>46</v>
      </c>
      <c r="G7" s="594" t="s">
        <v>79</v>
      </c>
      <c r="H7" s="595"/>
      <c r="I7" s="595"/>
      <c r="J7" s="596"/>
    </row>
    <row r="8" spans="2:10" s="11" customFormat="1" ht="29.25" customHeight="1" thickBot="1" x14ac:dyDescent="0.25">
      <c r="B8" s="25"/>
      <c r="C8" s="25"/>
      <c r="D8" s="25"/>
      <c r="E8" s="25"/>
      <c r="F8" s="38" t="s">
        <v>47</v>
      </c>
      <c r="G8" s="597" t="s">
        <v>64</v>
      </c>
      <c r="H8" s="598"/>
      <c r="I8" s="598"/>
      <c r="J8" s="599"/>
    </row>
    <row r="9" spans="2:10" s="28" customFormat="1" ht="27.75" customHeight="1" thickBot="1" x14ac:dyDescent="0.25">
      <c r="B9" s="600" t="s">
        <v>65</v>
      </c>
      <c r="C9" s="601"/>
      <c r="D9" s="602"/>
      <c r="F9" s="21"/>
      <c r="G9" s="21"/>
      <c r="H9" s="21"/>
      <c r="I9" s="21"/>
      <c r="J9" s="21"/>
    </row>
    <row r="10" spans="2:10" s="21" customFormat="1" ht="48.75" customHeight="1" thickBot="1" x14ac:dyDescent="0.25">
      <c r="B10" s="39" t="s">
        <v>3</v>
      </c>
      <c r="C10" s="40" t="s">
        <v>69</v>
      </c>
      <c r="D10" s="41" t="s">
        <v>66</v>
      </c>
      <c r="F10"/>
      <c r="G10" s="579" t="s">
        <v>70</v>
      </c>
      <c r="H10" s="612"/>
      <c r="I10" s="612"/>
      <c r="J10" s="613"/>
    </row>
    <row r="11" spans="2:10" ht="32.25" customHeight="1" thickBot="1" x14ac:dyDescent="0.25">
      <c r="B11" s="42" t="s">
        <v>9</v>
      </c>
      <c r="C11" s="614" t="s">
        <v>68</v>
      </c>
      <c r="D11" s="615"/>
      <c r="G11" s="43" t="s">
        <v>61</v>
      </c>
      <c r="H11" s="616" t="s">
        <v>62</v>
      </c>
      <c r="I11" s="617"/>
      <c r="J11" s="618"/>
    </row>
    <row r="12" spans="2:10" ht="27.75" customHeight="1" x14ac:dyDescent="0.25">
      <c r="B12" s="44" t="s">
        <v>54</v>
      </c>
      <c r="C12" s="45" t="s">
        <v>34</v>
      </c>
      <c r="D12" s="46" t="s">
        <v>30</v>
      </c>
      <c r="G12" s="47" t="s">
        <v>71</v>
      </c>
      <c r="H12" s="619" t="s">
        <v>72</v>
      </c>
      <c r="I12" s="619"/>
      <c r="J12" s="620"/>
    </row>
    <row r="13" spans="2:10" ht="27.75" customHeight="1" x14ac:dyDescent="0.25">
      <c r="B13" s="44" t="s">
        <v>55</v>
      </c>
      <c r="C13" s="45" t="s">
        <v>31</v>
      </c>
      <c r="D13" s="46" t="s">
        <v>32</v>
      </c>
      <c r="G13" s="29" t="s">
        <v>73</v>
      </c>
      <c r="H13" s="607" t="s">
        <v>41</v>
      </c>
      <c r="I13" s="607"/>
      <c r="J13" s="608"/>
    </row>
    <row r="14" spans="2:10" ht="27.75" customHeight="1" x14ac:dyDescent="0.25">
      <c r="B14" s="44" t="s">
        <v>56</v>
      </c>
      <c r="C14" s="45" t="s">
        <v>33</v>
      </c>
      <c r="D14" s="46" t="s">
        <v>34</v>
      </c>
      <c r="G14" s="29" t="s">
        <v>74</v>
      </c>
      <c r="H14" s="607" t="s">
        <v>42</v>
      </c>
      <c r="I14" s="607"/>
      <c r="J14" s="608"/>
    </row>
    <row r="15" spans="2:10" ht="27.75" customHeight="1" thickBot="1" x14ac:dyDescent="0.3">
      <c r="B15" s="44" t="s">
        <v>57</v>
      </c>
      <c r="C15" s="45" t="s">
        <v>35</v>
      </c>
      <c r="D15" s="46" t="s">
        <v>31</v>
      </c>
      <c r="G15" s="30" t="s">
        <v>75</v>
      </c>
      <c r="H15" s="609" t="s">
        <v>76</v>
      </c>
      <c r="I15" s="610"/>
      <c r="J15" s="611"/>
    </row>
    <row r="16" spans="2:10" ht="27.75" customHeight="1" x14ac:dyDescent="0.25">
      <c r="B16" s="44" t="s">
        <v>58</v>
      </c>
      <c r="C16" s="45" t="s">
        <v>36</v>
      </c>
      <c r="D16" s="46" t="s">
        <v>33</v>
      </c>
      <c r="G16" s="31"/>
    </row>
    <row r="17" spans="2:4" ht="27.75" customHeight="1" x14ac:dyDescent="0.25">
      <c r="B17" s="44" t="s">
        <v>59</v>
      </c>
      <c r="C17" s="45" t="s">
        <v>37</v>
      </c>
      <c r="D17" s="46" t="s">
        <v>38</v>
      </c>
    </row>
    <row r="18" spans="2:4" ht="27.75" customHeight="1" thickBot="1" x14ac:dyDescent="0.3">
      <c r="B18" s="48" t="s">
        <v>60</v>
      </c>
      <c r="C18" s="49" t="s">
        <v>67</v>
      </c>
      <c r="D18" s="50" t="s">
        <v>35</v>
      </c>
    </row>
  </sheetData>
  <mergeCells count="20">
    <mergeCell ref="H13:J13"/>
    <mergeCell ref="H14:J14"/>
    <mergeCell ref="H15:J15"/>
    <mergeCell ref="G10:J10"/>
    <mergeCell ref="C11:D11"/>
    <mergeCell ref="H11:J11"/>
    <mergeCell ref="H12:J12"/>
    <mergeCell ref="C7:D7"/>
    <mergeCell ref="G7:J7"/>
    <mergeCell ref="G8:J8"/>
    <mergeCell ref="B9:D9"/>
    <mergeCell ref="C5:D5"/>
    <mergeCell ref="G5:J5"/>
    <mergeCell ref="C6:D6"/>
    <mergeCell ref="G6:I6"/>
    <mergeCell ref="B2:D2"/>
    <mergeCell ref="F2:J2"/>
    <mergeCell ref="C3:D3"/>
    <mergeCell ref="F3:J4"/>
    <mergeCell ref="C4:D4"/>
  </mergeCells>
  <phoneticPr fontId="28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2AD657453CE4E86EDA56BED6FCA2A" ma:contentTypeVersion="1" ma:contentTypeDescription="Create a new document." ma:contentTypeScope="" ma:versionID="dadeb6233ac281e1c981a6463b26a53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0FFFD1-2093-45C6-A9B7-7BC3F38FF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15428-C551-4BDF-A4F5-70DEFFBFF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27C7E-9BD4-4558-AC48-BE1311D3F71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Dose calculator</vt:lpstr>
      <vt:lpstr>Dose calculator (2)</vt:lpstr>
      <vt:lpstr>Vancomycin continuous infusion</vt:lpstr>
      <vt:lpstr>'Dose calculator'!Print_Area</vt:lpstr>
      <vt:lpstr>'Dose calculator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Barbara</dc:creator>
  <cp:keywords>vancomycin calculator dose</cp:keywords>
  <cp:lastModifiedBy>McKean, Dave</cp:lastModifiedBy>
  <cp:lastPrinted>2024-12-18T10:31:17Z</cp:lastPrinted>
  <dcterms:created xsi:type="dcterms:W3CDTF">2009-07-12T09:30:30Z</dcterms:created>
  <dcterms:modified xsi:type="dcterms:W3CDTF">2026-02-13T13:35:34Z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0x0101008292AD657453CE4E86EDA56BED6FCA2A</vt:lpwstr>
  </property>
</Properties>
</file>